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4020" windowWidth="2955" windowHeight="121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<sst xmlns="http://schemas.openxmlformats.org/spreadsheetml/2006/main" count="49" uniqueCount="49">
  <si>
    <t>台灣胸腔及心臟血管外科學會</t>
  </si>
  <si>
    <t>明細分類帳(依科目)</t>
  </si>
  <si>
    <t>起止日期: 98-01-01 - 98-12-31</t>
  </si>
  <si>
    <t/>
  </si>
  <si>
    <t>日期</t>
  </si>
  <si>
    <t>傳票號碼</t>
  </si>
  <si>
    <t>摘        要</t>
  </si>
  <si>
    <t>部門名稱</t>
  </si>
  <si>
    <t>借/貸</t>
  </si>
  <si>
    <t>借方金額</t>
  </si>
  <si>
    <t>貸方金額</t>
  </si>
  <si>
    <t>餘額</t>
  </si>
  <si>
    <t>入會費收入</t>
  </si>
  <si>
    <t>報名費收入</t>
  </si>
  <si>
    <t>專科醫師證書費</t>
  </si>
  <si>
    <t>主動脈合格證書費</t>
  </si>
  <si>
    <t>常年會費收入</t>
  </si>
  <si>
    <t>贊助收入-攤位</t>
  </si>
  <si>
    <t>贊助收入-廣告</t>
  </si>
  <si>
    <t>員工薪給</t>
  </si>
  <si>
    <t>年終獎金</t>
  </si>
  <si>
    <t>保險費</t>
  </si>
  <si>
    <t>退休金</t>
  </si>
  <si>
    <t>文具費</t>
  </si>
  <si>
    <t>印刷費</t>
  </si>
  <si>
    <t>旅運費</t>
  </si>
  <si>
    <t>公共關係費</t>
  </si>
  <si>
    <t>租賦費</t>
  </si>
  <si>
    <t>其他辦公費</t>
  </si>
  <si>
    <t>理監事-車馬費</t>
  </si>
  <si>
    <t>理監事-加班費</t>
  </si>
  <si>
    <t>理監事-其他</t>
  </si>
  <si>
    <t>甄審委員-加班費</t>
  </si>
  <si>
    <t>甄審委員-其他</t>
  </si>
  <si>
    <t>學術教育-審查費</t>
  </si>
  <si>
    <t>會員大會-其他人事費</t>
  </si>
  <si>
    <t>會員大會-加班費</t>
  </si>
  <si>
    <t>雜費支出</t>
  </si>
  <si>
    <t>利息收入</t>
  </si>
  <si>
    <t>贊助收入-其他</t>
  </si>
  <si>
    <t>郵電費</t>
  </si>
  <si>
    <t>理監事-交通費</t>
  </si>
  <si>
    <t>甄審委員-車馬費</t>
  </si>
  <si>
    <t>甄審委員-其他人事</t>
  </si>
  <si>
    <t>甄審委員-甄審</t>
  </si>
  <si>
    <t>甄審委員-交通</t>
  </si>
  <si>
    <t>會員大會-車馬費</t>
  </si>
  <si>
    <t>會員大會-其他</t>
  </si>
  <si>
    <t>本會</t>
  </si>
</sst>
</file>

<file path=xl/styles.xml><?xml version="1.0" encoding="utf-8"?>
<styleSheet xmlns="http://schemas.openxmlformats.org/spreadsheetml/2006/main">
  <numFmts count="2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* _-&quot; &quot;#,##0;* \-&quot; &quot;#,##0;* _-&quot; &quot;&quot;-&quot;;@"/>
    <numFmt numFmtId="177" formatCode="* #,##0;* \-#,##0;* &quot;-&quot;;@"/>
    <numFmt numFmtId="178" formatCode="* _-&quot; &quot;#,##0.00;* \-&quot; &quot;#,##0.00;* _-&quot; &quot;&quot;-&quot;??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ㄓ&quot;#,##0;[Red]&quot;ㄓ&quot;\-#,##0"/>
    <numFmt numFmtId="185" formatCode="&quot;ㄓ&quot;#,##0.00;[Red]&quot;ㄓ&quot;\-#,##0.00"/>
    <numFmt numFmtId="186" formatCode="&quot; &quot;#,##0"/>
  </numFmts>
  <fonts count="11">
    <font>
      <sz val="11"/>
      <name val="Courier New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8"/>
      <name val="Courier New"/>
      <family val="3"/>
    </font>
    <font>
      <sz val="16"/>
      <name val="Courier New"/>
      <family val="3"/>
    </font>
    <font>
      <sz val="9"/>
      <name val="細明體"/>
      <family val="3"/>
    </font>
    <font>
      <sz val="11"/>
      <name val="細明體"/>
      <family val="3"/>
    </font>
    <font>
      <sz val="11"/>
      <color indexed="10"/>
      <name val="Courier New"/>
      <family val="3"/>
    </font>
    <font>
      <sz val="11"/>
      <color indexed="10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85" fontId="4" fillId="0" borderId="0" applyFont="0" applyFill="0" applyProtection="0">
      <alignment/>
    </xf>
    <xf numFmtId="184" fontId="4" fillId="0" borderId="0" applyFont="0" applyFill="0" applyProtection="0">
      <alignment/>
    </xf>
    <xf numFmtId="13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6" fontId="0" fillId="0" borderId="0" xfId="0" applyNumberFormat="1" applyAlignment="1">
      <alignment/>
    </xf>
    <xf numFmtId="186" fontId="0" fillId="0" borderId="1" xfId="0" applyNumberFormat="1" applyBorder="1" applyAlignment="1">
      <alignment horizontal="centerContinuous"/>
    </xf>
    <xf numFmtId="186" fontId="0" fillId="0" borderId="2" xfId="0" applyNumberFormat="1" applyBorder="1" applyAlignment="1">
      <alignment/>
    </xf>
    <xf numFmtId="186" fontId="0" fillId="0" borderId="3" xfId="0" applyNumberFormat="1" applyBorder="1" applyAlignment="1">
      <alignment/>
    </xf>
    <xf numFmtId="186" fontId="0" fillId="0" borderId="4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2"/>
  <sheetViews>
    <sheetView showGridLines="0" tabSelected="1" workbookViewId="0" topLeftCell="A1">
      <selection activeCell="A5" sqref="A5"/>
    </sheetView>
  </sheetViews>
  <sheetFormatPr defaultColWidth="9.10546875" defaultRowHeight="15"/>
  <cols>
    <col min="2" max="2" width="10.99609375" style="0" customWidth="1"/>
    <col min="3" max="3" width="27.99609375" style="0" customWidth="1"/>
    <col min="6" max="6" width="9.5546875" style="9" bestFit="1" customWidth="1"/>
    <col min="7" max="8" width="11.6640625" style="9" bestFit="1" customWidth="1"/>
    <col min="9" max="9" width="9.10546875" style="15" customWidth="1"/>
  </cols>
  <sheetData>
    <row r="1" spans="1:8" ht="24">
      <c r="A1" s="6" t="s">
        <v>0</v>
      </c>
      <c r="B1" s="6"/>
      <c r="C1" s="6"/>
      <c r="D1" s="6"/>
      <c r="E1" s="6"/>
      <c r="F1" s="6"/>
      <c r="G1" s="6"/>
      <c r="H1" s="6"/>
    </row>
    <row r="2" spans="1:8" ht="21">
      <c r="A2" s="7" t="s">
        <v>1</v>
      </c>
      <c r="B2" s="7"/>
      <c r="C2" s="7"/>
      <c r="D2" s="7"/>
      <c r="E2" s="7"/>
      <c r="F2" s="7"/>
      <c r="G2" s="7"/>
      <c r="H2" s="7"/>
    </row>
    <row r="3" spans="1:8" ht="15">
      <c r="A3" s="8" t="s">
        <v>2</v>
      </c>
      <c r="B3" s="8"/>
      <c r="C3" s="8"/>
      <c r="D3" s="8"/>
      <c r="E3" s="8"/>
      <c r="F3" s="8"/>
      <c r="G3" s="8"/>
      <c r="H3" s="8"/>
    </row>
    <row r="4" spans="1:4" ht="15.75">
      <c r="A4" s="14" t="s">
        <v>48</v>
      </c>
      <c r="D4" s="1" t="s">
        <v>3</v>
      </c>
    </row>
    <row r="6" spans="1:8" ht="1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10" t="s">
        <v>9</v>
      </c>
      <c r="G6" s="10" t="s">
        <v>10</v>
      </c>
      <c r="H6" s="10" t="s">
        <v>11</v>
      </c>
    </row>
    <row r="7" spans="1:8" ht="15">
      <c r="A7" s="3">
        <f>""</f>
      </c>
      <c r="B7" s="3" t="str">
        <f>"承上期"</f>
        <v>承上期</v>
      </c>
      <c r="C7" s="3">
        <f>""</f>
      </c>
      <c r="D7" s="3">
        <f>""</f>
      </c>
      <c r="E7" s="3">
        <f>""</f>
      </c>
      <c r="F7" s="11"/>
      <c r="G7" s="11"/>
      <c r="H7" s="11"/>
    </row>
    <row r="8" spans="1:8" ht="15">
      <c r="A8" s="4" t="str">
        <f>"98-01-23"</f>
        <v>98-01-23</v>
      </c>
      <c r="B8" s="4" t="str">
        <f>"VH81230002"</f>
        <v>VH81230002</v>
      </c>
      <c r="C8" s="4" t="str">
        <f>"*561-563"</f>
        <v>*561-563</v>
      </c>
      <c r="D8" s="4" t="str">
        <f>"本會"</f>
        <v>本會</v>
      </c>
      <c r="E8" s="4" t="str">
        <f aca="true" t="shared" si="0" ref="E8:E21">"貸"</f>
        <v>貸</v>
      </c>
      <c r="F8" s="12"/>
      <c r="G8" s="12">
        <f>2500</f>
        <v>2500</v>
      </c>
      <c r="H8" s="12">
        <f>2500</f>
        <v>2500</v>
      </c>
    </row>
    <row r="9" spans="1:8" ht="15">
      <c r="A9" s="4">
        <f>""</f>
      </c>
      <c r="B9" s="4" t="str">
        <f>"月小計"</f>
        <v>月小計</v>
      </c>
      <c r="C9" s="4">
        <f>""</f>
      </c>
      <c r="D9" s="4">
        <f>""</f>
      </c>
      <c r="E9" s="4" t="str">
        <f t="shared" si="0"/>
        <v>貸</v>
      </c>
      <c r="F9" s="12"/>
      <c r="G9" s="12">
        <f>2500</f>
        <v>2500</v>
      </c>
      <c r="H9" s="12">
        <f>2500</f>
        <v>2500</v>
      </c>
    </row>
    <row r="10" spans="1:8" ht="15">
      <c r="A10" s="4" t="str">
        <f>"98-02-26"</f>
        <v>98-02-26</v>
      </c>
      <c r="B10" s="4" t="str">
        <f>"VH82260001"</f>
        <v>VH82260001</v>
      </c>
      <c r="C10" s="4" t="str">
        <f>"*568-572"</f>
        <v>*568-572</v>
      </c>
      <c r="D10" s="4" t="str">
        <f>"本會"</f>
        <v>本會</v>
      </c>
      <c r="E10" s="4" t="str">
        <f t="shared" si="0"/>
        <v>貸</v>
      </c>
      <c r="F10" s="12"/>
      <c r="G10" s="12">
        <f>2500</f>
        <v>2500</v>
      </c>
      <c r="H10" s="12">
        <f>5000</f>
        <v>5000</v>
      </c>
    </row>
    <row r="11" spans="1:8" ht="15">
      <c r="A11" s="4">
        <f>""</f>
      </c>
      <c r="B11" s="4" t="str">
        <f>"月小計"</f>
        <v>月小計</v>
      </c>
      <c r="C11" s="4">
        <f>""</f>
      </c>
      <c r="D11" s="4">
        <f>""</f>
      </c>
      <c r="E11" s="4" t="str">
        <f t="shared" si="0"/>
        <v>貸</v>
      </c>
      <c r="F11" s="12"/>
      <c r="G11" s="12">
        <f>2500</f>
        <v>2500</v>
      </c>
      <c r="H11" s="12">
        <f>5000</f>
        <v>5000</v>
      </c>
    </row>
    <row r="12" spans="1:8" ht="15">
      <c r="A12" s="4" t="str">
        <f>"98-06-21"</f>
        <v>98-06-21</v>
      </c>
      <c r="B12" s="4" t="str">
        <f>"VH86210001"</f>
        <v>VH86210001</v>
      </c>
      <c r="C12" s="4" t="str">
        <f>"*578-580"</f>
        <v>*578-580</v>
      </c>
      <c r="D12" s="4" t="str">
        <f>"本會"</f>
        <v>本會</v>
      </c>
      <c r="E12" s="4" t="str">
        <f t="shared" si="0"/>
        <v>貸</v>
      </c>
      <c r="F12" s="12"/>
      <c r="G12" s="12">
        <f>2500</f>
        <v>2500</v>
      </c>
      <c r="H12" s="12">
        <f>7500</f>
        <v>7500</v>
      </c>
    </row>
    <row r="13" spans="1:8" ht="15">
      <c r="A13" s="4">
        <f>""</f>
      </c>
      <c r="B13" s="4" t="str">
        <f>"月小計"</f>
        <v>月小計</v>
      </c>
      <c r="C13" s="4">
        <f>""</f>
      </c>
      <c r="D13" s="4">
        <f>""</f>
      </c>
      <c r="E13" s="4" t="str">
        <f t="shared" si="0"/>
        <v>貸</v>
      </c>
      <c r="F13" s="12"/>
      <c r="G13" s="12">
        <f>2500</f>
        <v>2500</v>
      </c>
      <c r="H13" s="12">
        <f>7500</f>
        <v>7500</v>
      </c>
    </row>
    <row r="14" spans="1:8" ht="15">
      <c r="A14" s="4" t="str">
        <f>"98-07-09"</f>
        <v>98-07-09</v>
      </c>
      <c r="B14" s="4" t="str">
        <f>"VH87090001"</f>
        <v>VH87090001</v>
      </c>
      <c r="C14" s="4" t="str">
        <f>"581-590"</f>
        <v>581-590</v>
      </c>
      <c r="D14" s="4" t="str">
        <f>"本會"</f>
        <v>本會</v>
      </c>
      <c r="E14" s="4" t="str">
        <f t="shared" si="0"/>
        <v>貸</v>
      </c>
      <c r="F14" s="12"/>
      <c r="G14" s="12">
        <f>13500</f>
        <v>13500</v>
      </c>
      <c r="H14" s="12">
        <f>21000</f>
        <v>21000</v>
      </c>
    </row>
    <row r="15" spans="1:8" ht="15">
      <c r="A15" s="4" t="str">
        <f>"98-07-31"</f>
        <v>98-07-31</v>
      </c>
      <c r="B15" s="4" t="str">
        <f>"VH87310001"</f>
        <v>VH87310001</v>
      </c>
      <c r="C15" s="4" t="str">
        <f>"591-600"</f>
        <v>591-600</v>
      </c>
      <c r="D15" s="4" t="str">
        <f>"本會"</f>
        <v>本會</v>
      </c>
      <c r="E15" s="4" t="str">
        <f t="shared" si="0"/>
        <v>貸</v>
      </c>
      <c r="F15" s="12"/>
      <c r="G15" s="12">
        <f>20000</f>
        <v>20000</v>
      </c>
      <c r="H15" s="12">
        <f>41000</f>
        <v>41000</v>
      </c>
    </row>
    <row r="16" spans="1:8" ht="15">
      <c r="A16" s="4">
        <f>""</f>
      </c>
      <c r="B16" s="4" t="str">
        <f>"月小計"</f>
        <v>月小計</v>
      </c>
      <c r="C16" s="4">
        <f>""</f>
      </c>
      <c r="D16" s="4">
        <f>""</f>
      </c>
      <c r="E16" s="4" t="str">
        <f t="shared" si="0"/>
        <v>貸</v>
      </c>
      <c r="F16" s="12"/>
      <c r="G16" s="12">
        <f>33500</f>
        <v>33500</v>
      </c>
      <c r="H16" s="12">
        <f>41000</f>
        <v>41000</v>
      </c>
    </row>
    <row r="17" spans="1:8" ht="15">
      <c r="A17" s="4" t="str">
        <f>"98-08-31"</f>
        <v>98-08-31</v>
      </c>
      <c r="B17" s="4" t="str">
        <f>"VH88310002"</f>
        <v>VH88310002</v>
      </c>
      <c r="C17" s="4" t="str">
        <f>"601-608"</f>
        <v>601-608</v>
      </c>
      <c r="D17" s="4" t="str">
        <f>"本會"</f>
        <v>本會</v>
      </c>
      <c r="E17" s="4" t="str">
        <f t="shared" si="0"/>
        <v>貸</v>
      </c>
      <c r="F17" s="12"/>
      <c r="G17" s="12">
        <f>7500</f>
        <v>7500</v>
      </c>
      <c r="H17" s="12">
        <f>48500</f>
        <v>48500</v>
      </c>
    </row>
    <row r="18" spans="1:8" ht="15">
      <c r="A18" s="4">
        <f>""</f>
      </c>
      <c r="B18" s="4" t="str">
        <f>"月小計"</f>
        <v>月小計</v>
      </c>
      <c r="C18" s="4">
        <f>""</f>
      </c>
      <c r="D18" s="4">
        <f>""</f>
      </c>
      <c r="E18" s="4" t="str">
        <f t="shared" si="0"/>
        <v>貸</v>
      </c>
      <c r="F18" s="12"/>
      <c r="G18" s="12">
        <f>7500</f>
        <v>7500</v>
      </c>
      <c r="H18" s="12">
        <f>48500</f>
        <v>48500</v>
      </c>
    </row>
    <row r="19" spans="1:8" ht="15">
      <c r="A19" s="4" t="str">
        <f>"98-12-21"</f>
        <v>98-12-21</v>
      </c>
      <c r="B19" s="4" t="str">
        <f>"VH8C210001"</f>
        <v>VH8C210001</v>
      </c>
      <c r="C19" s="4" t="str">
        <f>"614-622"</f>
        <v>614-622</v>
      </c>
      <c r="D19" s="4" t="str">
        <f>"本會"</f>
        <v>本會</v>
      </c>
      <c r="E19" s="4" t="str">
        <f t="shared" si="0"/>
        <v>貸</v>
      </c>
      <c r="F19" s="12"/>
      <c r="G19" s="12">
        <f>7500</f>
        <v>7500</v>
      </c>
      <c r="H19" s="12">
        <f>56000</f>
        <v>56000</v>
      </c>
    </row>
    <row r="20" spans="1:8" ht="15">
      <c r="A20" s="4">
        <f>""</f>
      </c>
      <c r="B20" s="4" t="str">
        <f>"月小計"</f>
        <v>月小計</v>
      </c>
      <c r="C20" s="4">
        <f>""</f>
      </c>
      <c r="D20" s="4">
        <f>""</f>
      </c>
      <c r="E20" s="4" t="str">
        <f t="shared" si="0"/>
        <v>貸</v>
      </c>
      <c r="F20" s="12"/>
      <c r="G20" s="12">
        <f>7500</f>
        <v>7500</v>
      </c>
      <c r="H20" s="12">
        <f>56000</f>
        <v>56000</v>
      </c>
    </row>
    <row r="21" spans="1:9" ht="15.75">
      <c r="A21" s="4">
        <f>""</f>
      </c>
      <c r="B21" s="4" t="str">
        <f>"合    計"</f>
        <v>合    計</v>
      </c>
      <c r="C21" s="4">
        <f>""</f>
      </c>
      <c r="D21" s="4">
        <f>""</f>
      </c>
      <c r="E21" s="4" t="str">
        <f t="shared" si="0"/>
        <v>貸</v>
      </c>
      <c r="F21" s="12"/>
      <c r="G21" s="12">
        <f>56000</f>
        <v>56000</v>
      </c>
      <c r="H21" s="12">
        <f>56000</f>
        <v>56000</v>
      </c>
      <c r="I21" s="16" t="s">
        <v>12</v>
      </c>
    </row>
    <row r="22" spans="1:8" ht="15">
      <c r="A22" s="4">
        <f>""</f>
      </c>
      <c r="B22" s="4" t="str">
        <f>"承上期"</f>
        <v>承上期</v>
      </c>
      <c r="C22" s="4">
        <f>""</f>
      </c>
      <c r="D22" s="4">
        <f>""</f>
      </c>
      <c r="E22" s="4">
        <f>""</f>
      </c>
      <c r="F22" s="12"/>
      <c r="G22" s="12"/>
      <c r="H22" s="12"/>
    </row>
    <row r="23" spans="1:8" ht="15">
      <c r="A23" s="4" t="str">
        <f>"98-07-09"</f>
        <v>98-07-09</v>
      </c>
      <c r="B23" s="4" t="str">
        <f>"VH87090001"</f>
        <v>VH87090001</v>
      </c>
      <c r="C23" s="4" t="str">
        <f>"581-590"</f>
        <v>581-590</v>
      </c>
      <c r="D23" s="4" t="str">
        <f>"本會"</f>
        <v>本會</v>
      </c>
      <c r="E23" s="4" t="str">
        <f aca="true" t="shared" si="1" ref="E23:E28">"貸"</f>
        <v>貸</v>
      </c>
      <c r="F23" s="12"/>
      <c r="G23" s="12">
        <f>62500</f>
        <v>62500</v>
      </c>
      <c r="H23" s="12">
        <f>62500</f>
        <v>62500</v>
      </c>
    </row>
    <row r="24" spans="1:8" ht="15">
      <c r="A24" s="4" t="str">
        <f>"98-07-31"</f>
        <v>98-07-31</v>
      </c>
      <c r="B24" s="4" t="str">
        <f>"VH87310001"</f>
        <v>VH87310001</v>
      </c>
      <c r="C24" s="4" t="str">
        <f>"591-600"</f>
        <v>591-600</v>
      </c>
      <c r="D24" s="4" t="str">
        <f>"本會"</f>
        <v>本會</v>
      </c>
      <c r="E24" s="4" t="str">
        <f t="shared" si="1"/>
        <v>貸</v>
      </c>
      <c r="F24" s="12"/>
      <c r="G24" s="12">
        <f>21000</f>
        <v>21000</v>
      </c>
      <c r="H24" s="12">
        <f>83500</f>
        <v>83500</v>
      </c>
    </row>
    <row r="25" spans="1:8" ht="15">
      <c r="A25" s="4">
        <f>""</f>
      </c>
      <c r="B25" s="4" t="str">
        <f>"月小計"</f>
        <v>月小計</v>
      </c>
      <c r="C25" s="4">
        <f>""</f>
      </c>
      <c r="D25" s="4">
        <f>""</f>
      </c>
      <c r="E25" s="4" t="str">
        <f t="shared" si="1"/>
        <v>貸</v>
      </c>
      <c r="F25" s="12"/>
      <c r="G25" s="12">
        <f>83500</f>
        <v>83500</v>
      </c>
      <c r="H25" s="12">
        <f>83500</f>
        <v>83500</v>
      </c>
    </row>
    <row r="26" spans="1:8" ht="15">
      <c r="A26" s="4" t="str">
        <f>"98-12-03"</f>
        <v>98-12-03</v>
      </c>
      <c r="B26" s="4" t="str">
        <f>"VH8C030001"</f>
        <v>VH8C030001</v>
      </c>
      <c r="C26" s="4" t="str">
        <f>"張金池退費"</f>
        <v>張金池退費</v>
      </c>
      <c r="D26" s="4" t="str">
        <f>"本會"</f>
        <v>本會</v>
      </c>
      <c r="E26" s="4" t="str">
        <f t="shared" si="1"/>
        <v>貸</v>
      </c>
      <c r="F26" s="12">
        <f>2500</f>
        <v>2500</v>
      </c>
      <c r="G26" s="12"/>
      <c r="H26" s="12">
        <f>81000</f>
        <v>81000</v>
      </c>
    </row>
    <row r="27" spans="1:8" ht="15">
      <c r="A27" s="4">
        <f>""</f>
      </c>
      <c r="B27" s="4" t="str">
        <f>"月小計"</f>
        <v>月小計</v>
      </c>
      <c r="C27" s="4">
        <f>""</f>
      </c>
      <c r="D27" s="4">
        <f>""</f>
      </c>
      <c r="E27" s="4" t="str">
        <f t="shared" si="1"/>
        <v>貸</v>
      </c>
      <c r="F27" s="12">
        <f>2500</f>
        <v>2500</v>
      </c>
      <c r="G27" s="12"/>
      <c r="H27" s="12">
        <f>81000</f>
        <v>81000</v>
      </c>
    </row>
    <row r="28" spans="1:9" ht="15.75">
      <c r="A28" s="4">
        <f>""</f>
      </c>
      <c r="B28" s="4" t="str">
        <f>"合    計"</f>
        <v>合    計</v>
      </c>
      <c r="C28" s="4">
        <f>""</f>
      </c>
      <c r="D28" s="4">
        <f>""</f>
      </c>
      <c r="E28" s="4" t="str">
        <f t="shared" si="1"/>
        <v>貸</v>
      </c>
      <c r="F28" s="12">
        <f>2500</f>
        <v>2500</v>
      </c>
      <c r="G28" s="12">
        <f>83500</f>
        <v>83500</v>
      </c>
      <c r="H28" s="12">
        <f>81000</f>
        <v>81000</v>
      </c>
      <c r="I28" s="16" t="s">
        <v>13</v>
      </c>
    </row>
    <row r="29" spans="1:8" ht="15">
      <c r="A29" s="4">
        <f>""</f>
      </c>
      <c r="B29" s="4" t="str">
        <f>"承上期"</f>
        <v>承上期</v>
      </c>
      <c r="C29" s="4">
        <f>""</f>
      </c>
      <c r="D29" s="4">
        <f>""</f>
      </c>
      <c r="E29" s="4">
        <f>""</f>
      </c>
      <c r="F29" s="12"/>
      <c r="G29" s="12"/>
      <c r="H29" s="12"/>
    </row>
    <row r="30" spans="1:8" ht="15">
      <c r="A30" s="4" t="str">
        <f>"98-01-23"</f>
        <v>98-01-23</v>
      </c>
      <c r="B30" s="4" t="str">
        <f>"VH81230002"</f>
        <v>VH81230002</v>
      </c>
      <c r="C30" s="4" t="str">
        <f>"*561-563"</f>
        <v>*561-563</v>
      </c>
      <c r="D30" s="4" t="str">
        <f>"本會"</f>
        <v>本會</v>
      </c>
      <c r="E30" s="4" t="str">
        <f aca="true" t="shared" si="2" ref="E30:E46">"貸"</f>
        <v>貸</v>
      </c>
      <c r="F30" s="12"/>
      <c r="G30" s="12">
        <f>2000</f>
        <v>2000</v>
      </c>
      <c r="H30" s="12">
        <f>2000</f>
        <v>2000</v>
      </c>
    </row>
    <row r="31" spans="1:8" ht="15">
      <c r="A31" s="4">
        <f>""</f>
      </c>
      <c r="B31" s="4" t="str">
        <f>"月小計"</f>
        <v>月小計</v>
      </c>
      <c r="C31" s="4">
        <f>""</f>
      </c>
      <c r="D31" s="4">
        <f>""</f>
      </c>
      <c r="E31" s="4" t="str">
        <f t="shared" si="2"/>
        <v>貸</v>
      </c>
      <c r="F31" s="12"/>
      <c r="G31" s="12">
        <f>2000</f>
        <v>2000</v>
      </c>
      <c r="H31" s="12">
        <f>2000</f>
        <v>2000</v>
      </c>
    </row>
    <row r="32" spans="1:8" ht="15">
      <c r="A32" s="4" t="str">
        <f>"98-02-10"</f>
        <v>98-02-10</v>
      </c>
      <c r="B32" s="4" t="str">
        <f>"VH82100001"</f>
        <v>VH82100001</v>
      </c>
      <c r="C32" s="4" t="str">
        <f>"*564-567"</f>
        <v>*564-567</v>
      </c>
      <c r="D32" s="4" t="str">
        <f>"本會"</f>
        <v>本會</v>
      </c>
      <c r="E32" s="4" t="str">
        <f t="shared" si="2"/>
        <v>貸</v>
      </c>
      <c r="F32" s="12"/>
      <c r="G32" s="12">
        <f>6000</f>
        <v>6000</v>
      </c>
      <c r="H32" s="12">
        <f>8000</f>
        <v>8000</v>
      </c>
    </row>
    <row r="33" spans="1:8" ht="15">
      <c r="A33" s="4" t="str">
        <f>"98-02-26"</f>
        <v>98-02-26</v>
      </c>
      <c r="B33" s="4" t="str">
        <f>"VH82260001"</f>
        <v>VH82260001</v>
      </c>
      <c r="C33" s="4" t="str">
        <f>"*568-572"</f>
        <v>*568-572</v>
      </c>
      <c r="D33" s="4" t="str">
        <f>"本會"</f>
        <v>本會</v>
      </c>
      <c r="E33" s="4" t="str">
        <f t="shared" si="2"/>
        <v>貸</v>
      </c>
      <c r="F33" s="12"/>
      <c r="G33" s="12">
        <f>1000</f>
        <v>1000</v>
      </c>
      <c r="H33" s="12">
        <f>9000</f>
        <v>9000</v>
      </c>
    </row>
    <row r="34" spans="1:8" ht="15">
      <c r="A34" s="4">
        <f>""</f>
      </c>
      <c r="B34" s="4" t="str">
        <f>"月小計"</f>
        <v>月小計</v>
      </c>
      <c r="C34" s="4">
        <f>""</f>
      </c>
      <c r="D34" s="4">
        <f>""</f>
      </c>
      <c r="E34" s="4" t="str">
        <f t="shared" si="2"/>
        <v>貸</v>
      </c>
      <c r="F34" s="12"/>
      <c r="G34" s="12">
        <f>7000</f>
        <v>7000</v>
      </c>
      <c r="H34" s="12">
        <f>9000</f>
        <v>9000</v>
      </c>
    </row>
    <row r="35" spans="1:8" ht="15">
      <c r="A35" s="4" t="str">
        <f>"98-06-21"</f>
        <v>98-06-21</v>
      </c>
      <c r="B35" s="4" t="str">
        <f>"VH86210001"</f>
        <v>VH86210001</v>
      </c>
      <c r="C35" s="4" t="str">
        <f>"*578-580"</f>
        <v>*578-580</v>
      </c>
      <c r="D35" s="4" t="str">
        <f>"本會"</f>
        <v>本會</v>
      </c>
      <c r="E35" s="4" t="str">
        <f t="shared" si="2"/>
        <v>貸</v>
      </c>
      <c r="F35" s="12"/>
      <c r="G35" s="12">
        <f>8500</f>
        <v>8500</v>
      </c>
      <c r="H35" s="12">
        <f>17500</f>
        <v>17500</v>
      </c>
    </row>
    <row r="36" spans="1:8" ht="15">
      <c r="A36" s="4">
        <f>""</f>
      </c>
      <c r="B36" s="4" t="str">
        <f>"月小計"</f>
        <v>月小計</v>
      </c>
      <c r="C36" s="4">
        <f>""</f>
      </c>
      <c r="D36" s="4">
        <f>""</f>
      </c>
      <c r="E36" s="4" t="str">
        <f t="shared" si="2"/>
        <v>貸</v>
      </c>
      <c r="F36" s="12"/>
      <c r="G36" s="12">
        <f>8500</f>
        <v>8500</v>
      </c>
      <c r="H36" s="12">
        <f>17500</f>
        <v>17500</v>
      </c>
    </row>
    <row r="37" spans="1:8" ht="15">
      <c r="A37" s="4" t="str">
        <f>"98-07-09"</f>
        <v>98-07-09</v>
      </c>
      <c r="B37" s="4" t="str">
        <f>"VH87090001"</f>
        <v>VH87090001</v>
      </c>
      <c r="C37" s="4" t="str">
        <f>"581-590"</f>
        <v>581-590</v>
      </c>
      <c r="D37" s="4" t="str">
        <f>"本會"</f>
        <v>本會</v>
      </c>
      <c r="E37" s="4" t="str">
        <f t="shared" si="2"/>
        <v>貸</v>
      </c>
      <c r="F37" s="12"/>
      <c r="G37" s="12">
        <f>10500</f>
        <v>10500</v>
      </c>
      <c r="H37" s="12">
        <f>28000</f>
        <v>28000</v>
      </c>
    </row>
    <row r="38" spans="1:8" ht="15">
      <c r="A38" s="4" t="str">
        <f>"98-07-31"</f>
        <v>98-07-31</v>
      </c>
      <c r="B38" s="4" t="str">
        <f>"VH87310001"</f>
        <v>VH87310001</v>
      </c>
      <c r="C38" s="4" t="str">
        <f>"591-600"</f>
        <v>591-600</v>
      </c>
      <c r="D38" s="4" t="str">
        <f>"本會"</f>
        <v>本會</v>
      </c>
      <c r="E38" s="4" t="str">
        <f t="shared" si="2"/>
        <v>貸</v>
      </c>
      <c r="F38" s="12"/>
      <c r="G38" s="12">
        <f>33000</f>
        <v>33000</v>
      </c>
      <c r="H38" s="12">
        <f>61000</f>
        <v>61000</v>
      </c>
    </row>
    <row r="39" spans="1:8" ht="15">
      <c r="A39" s="4">
        <f>""</f>
      </c>
      <c r="B39" s="4" t="str">
        <f>"月小計"</f>
        <v>月小計</v>
      </c>
      <c r="C39" s="4">
        <f>""</f>
      </c>
      <c r="D39" s="4">
        <f>""</f>
      </c>
      <c r="E39" s="4" t="str">
        <f t="shared" si="2"/>
        <v>貸</v>
      </c>
      <c r="F39" s="12"/>
      <c r="G39" s="12">
        <f>43500</f>
        <v>43500</v>
      </c>
      <c r="H39" s="12">
        <f>61000</f>
        <v>61000</v>
      </c>
    </row>
    <row r="40" spans="1:8" ht="15">
      <c r="A40" s="4" t="str">
        <f>"98-08-31"</f>
        <v>98-08-31</v>
      </c>
      <c r="B40" s="4" t="str">
        <f>"VH88310002"</f>
        <v>VH88310002</v>
      </c>
      <c r="C40" s="4" t="str">
        <f>"601-608"</f>
        <v>601-608</v>
      </c>
      <c r="D40" s="4" t="str">
        <f>"本會"</f>
        <v>本會</v>
      </c>
      <c r="E40" s="4" t="str">
        <f t="shared" si="2"/>
        <v>貸</v>
      </c>
      <c r="F40" s="12"/>
      <c r="G40" s="12">
        <f>97500</f>
        <v>97500</v>
      </c>
      <c r="H40" s="12">
        <f>158500</f>
        <v>158500</v>
      </c>
    </row>
    <row r="41" spans="1:8" ht="15">
      <c r="A41" s="4">
        <f>""</f>
      </c>
      <c r="B41" s="4" t="str">
        <f>"月小計"</f>
        <v>月小計</v>
      </c>
      <c r="C41" s="4">
        <f>""</f>
      </c>
      <c r="D41" s="4">
        <f>""</f>
      </c>
      <c r="E41" s="4" t="str">
        <f t="shared" si="2"/>
        <v>貸</v>
      </c>
      <c r="F41" s="12"/>
      <c r="G41" s="12">
        <f>97500</f>
        <v>97500</v>
      </c>
      <c r="H41" s="12">
        <f>158500</f>
        <v>158500</v>
      </c>
    </row>
    <row r="42" spans="1:8" ht="15">
      <c r="A42" s="4" t="str">
        <f>"98-09-30"</f>
        <v>98-09-30</v>
      </c>
      <c r="B42" s="4" t="str">
        <f>"VH89300002"</f>
        <v>VH89300002</v>
      </c>
      <c r="C42" s="4" t="str">
        <f>"609-610"</f>
        <v>609-610</v>
      </c>
      <c r="D42" s="4" t="str">
        <f>"本會"</f>
        <v>本會</v>
      </c>
      <c r="E42" s="4" t="str">
        <f t="shared" si="2"/>
        <v>貸</v>
      </c>
      <c r="F42" s="12"/>
      <c r="G42" s="12">
        <f>10000</f>
        <v>10000</v>
      </c>
      <c r="H42" s="12">
        <f>168500</f>
        <v>168500</v>
      </c>
    </row>
    <row r="43" spans="1:8" ht="15">
      <c r="A43" s="4">
        <f>""</f>
      </c>
      <c r="B43" s="4" t="str">
        <f>"月小計"</f>
        <v>月小計</v>
      </c>
      <c r="C43" s="4">
        <f>""</f>
      </c>
      <c r="D43" s="4">
        <f>""</f>
      </c>
      <c r="E43" s="4" t="str">
        <f t="shared" si="2"/>
        <v>貸</v>
      </c>
      <c r="F43" s="12"/>
      <c r="G43" s="12">
        <f>10000</f>
        <v>10000</v>
      </c>
      <c r="H43" s="12">
        <f>168500</f>
        <v>168500</v>
      </c>
    </row>
    <row r="44" spans="1:8" ht="15">
      <c r="A44" s="4" t="str">
        <f>"98-10-06"</f>
        <v>98-10-06</v>
      </c>
      <c r="B44" s="4" t="str">
        <f>"VH8A060001"</f>
        <v>VH8A060001</v>
      </c>
      <c r="C44" s="4" t="str">
        <f>"611-613"</f>
        <v>611-613</v>
      </c>
      <c r="D44" s="4" t="str">
        <f>"本會"</f>
        <v>本會</v>
      </c>
      <c r="E44" s="4" t="str">
        <f t="shared" si="2"/>
        <v>貸</v>
      </c>
      <c r="F44" s="12"/>
      <c r="G44" s="12">
        <f>7000</f>
        <v>7000</v>
      </c>
      <c r="H44" s="12">
        <f>175500</f>
        <v>175500</v>
      </c>
    </row>
    <row r="45" spans="1:8" ht="15">
      <c r="A45" s="4">
        <f>""</f>
      </c>
      <c r="B45" s="4" t="str">
        <f>"月小計"</f>
        <v>月小計</v>
      </c>
      <c r="C45" s="4">
        <f>""</f>
      </c>
      <c r="D45" s="4">
        <f>""</f>
      </c>
      <c r="E45" s="4" t="str">
        <f t="shared" si="2"/>
        <v>貸</v>
      </c>
      <c r="F45" s="12"/>
      <c r="G45" s="12">
        <f>7000</f>
        <v>7000</v>
      </c>
      <c r="H45" s="12">
        <f>175500</f>
        <v>175500</v>
      </c>
    </row>
    <row r="46" spans="1:9" ht="15.75">
      <c r="A46" s="4">
        <f>""</f>
      </c>
      <c r="B46" s="4" t="str">
        <f>"合    計"</f>
        <v>合    計</v>
      </c>
      <c r="C46" s="4">
        <f>""</f>
      </c>
      <c r="D46" s="4">
        <f>""</f>
      </c>
      <c r="E46" s="4" t="str">
        <f t="shared" si="2"/>
        <v>貸</v>
      </c>
      <c r="F46" s="12"/>
      <c r="G46" s="12">
        <f>175500</f>
        <v>175500</v>
      </c>
      <c r="H46" s="12">
        <f>175500</f>
        <v>175500</v>
      </c>
      <c r="I46" s="16" t="s">
        <v>14</v>
      </c>
    </row>
    <row r="47" spans="1:8" ht="15">
      <c r="A47" s="4">
        <f>""</f>
      </c>
      <c r="B47" s="4" t="str">
        <f>"承上期"</f>
        <v>承上期</v>
      </c>
      <c r="C47" s="4">
        <f>""</f>
      </c>
      <c r="D47" s="4">
        <f>""</f>
      </c>
      <c r="E47" s="4">
        <f>""</f>
      </c>
      <c r="F47" s="12"/>
      <c r="G47" s="12"/>
      <c r="H47" s="12"/>
    </row>
    <row r="48" spans="1:8" ht="15">
      <c r="A48" s="4" t="str">
        <f>"98-01-23"</f>
        <v>98-01-23</v>
      </c>
      <c r="B48" s="4" t="str">
        <f>"VH81230002"</f>
        <v>VH81230002</v>
      </c>
      <c r="C48" s="4" t="str">
        <f>"*561-563"</f>
        <v>*561-563</v>
      </c>
      <c r="D48" s="4" t="str">
        <f>"本會"</f>
        <v>本會</v>
      </c>
      <c r="E48" s="4" t="str">
        <f>"貸"</f>
        <v>貸</v>
      </c>
      <c r="F48" s="12"/>
      <c r="G48" s="12">
        <f>5000</f>
        <v>5000</v>
      </c>
      <c r="H48" s="12">
        <f>5000</f>
        <v>5000</v>
      </c>
    </row>
    <row r="49" spans="1:8" ht="15">
      <c r="A49" s="4">
        <f>""</f>
      </c>
      <c r="B49" s="4" t="str">
        <f>"月小計"</f>
        <v>月小計</v>
      </c>
      <c r="C49" s="4">
        <f>""</f>
      </c>
      <c r="D49" s="4">
        <f>""</f>
      </c>
      <c r="E49" s="4" t="str">
        <f>"貸"</f>
        <v>貸</v>
      </c>
      <c r="F49" s="12"/>
      <c r="G49" s="12">
        <f>5000</f>
        <v>5000</v>
      </c>
      <c r="H49" s="12">
        <f>5000</f>
        <v>5000</v>
      </c>
    </row>
    <row r="50" spans="1:9" ht="15.75">
      <c r="A50" s="4">
        <f>""</f>
      </c>
      <c r="B50" s="4" t="str">
        <f>"合    計"</f>
        <v>合    計</v>
      </c>
      <c r="C50" s="4">
        <f>""</f>
      </c>
      <c r="D50" s="4">
        <f>""</f>
      </c>
      <c r="E50" s="4" t="str">
        <f>"貸"</f>
        <v>貸</v>
      </c>
      <c r="F50" s="12"/>
      <c r="G50" s="12">
        <f>5000</f>
        <v>5000</v>
      </c>
      <c r="H50" s="12">
        <f>5000</f>
        <v>5000</v>
      </c>
      <c r="I50" s="16" t="s">
        <v>15</v>
      </c>
    </row>
    <row r="51" spans="1:8" ht="15">
      <c r="A51" s="4">
        <f>""</f>
      </c>
      <c r="B51" s="4" t="str">
        <f>"承上期"</f>
        <v>承上期</v>
      </c>
      <c r="C51" s="4">
        <f>""</f>
      </c>
      <c r="D51" s="4">
        <f>""</f>
      </c>
      <c r="E51" s="4">
        <f>""</f>
      </c>
      <c r="F51" s="12"/>
      <c r="G51" s="12"/>
      <c r="H51" s="12"/>
    </row>
    <row r="52" spans="1:8" ht="15">
      <c r="A52" s="4" t="str">
        <f>"98-06-21"</f>
        <v>98-06-21</v>
      </c>
      <c r="B52" s="4" t="str">
        <f>"VH86210001"</f>
        <v>VH86210001</v>
      </c>
      <c r="C52" s="4" t="str">
        <f>"劃撥"</f>
        <v>劃撥</v>
      </c>
      <c r="D52" s="4" t="str">
        <f>"本會"</f>
        <v>本會</v>
      </c>
      <c r="E52" s="4" t="str">
        <f aca="true" t="shared" si="3" ref="E52:E58">"貸"</f>
        <v>貸</v>
      </c>
      <c r="F52" s="12"/>
      <c r="G52" s="12">
        <f>152</f>
        <v>152</v>
      </c>
      <c r="H52" s="12">
        <f>152</f>
        <v>152</v>
      </c>
    </row>
    <row r="53" spans="1:8" ht="15">
      <c r="A53" s="4" t="str">
        <f>"98-06-26"</f>
        <v>98-06-26</v>
      </c>
      <c r="B53" s="4" t="str">
        <f>"VH86260001"</f>
        <v>VH86260001</v>
      </c>
      <c r="C53" s="4" t="str">
        <f>"合庫-台大"</f>
        <v>合庫-台大</v>
      </c>
      <c r="D53" s="4" t="str">
        <f>"本會"</f>
        <v>本會</v>
      </c>
      <c r="E53" s="4" t="str">
        <f t="shared" si="3"/>
        <v>貸</v>
      </c>
      <c r="F53" s="12"/>
      <c r="G53" s="12">
        <f>970</f>
        <v>970</v>
      </c>
      <c r="H53" s="12">
        <f>1122</f>
        <v>1122</v>
      </c>
    </row>
    <row r="54" spans="1:8" ht="15">
      <c r="A54" s="4">
        <f>""</f>
      </c>
      <c r="B54" s="4" t="str">
        <f>"月小計"</f>
        <v>月小計</v>
      </c>
      <c r="C54" s="4">
        <f>""</f>
      </c>
      <c r="D54" s="4">
        <f>""</f>
      </c>
      <c r="E54" s="4" t="str">
        <f t="shared" si="3"/>
        <v>貸</v>
      </c>
      <c r="F54" s="12"/>
      <c r="G54" s="12">
        <f>1122</f>
        <v>1122</v>
      </c>
      <c r="H54" s="12">
        <f>1122</f>
        <v>1122</v>
      </c>
    </row>
    <row r="55" spans="1:8" ht="15">
      <c r="A55" s="4" t="str">
        <f>"98-12-21"</f>
        <v>98-12-21</v>
      </c>
      <c r="B55" s="4" t="str">
        <f>"VH8C210001"</f>
        <v>VH8C210001</v>
      </c>
      <c r="C55" s="4" t="str">
        <f>"劃撥"</f>
        <v>劃撥</v>
      </c>
      <c r="D55" s="4" t="str">
        <f>"本會"</f>
        <v>本會</v>
      </c>
      <c r="E55" s="4" t="str">
        <f t="shared" si="3"/>
        <v>貸</v>
      </c>
      <c r="F55" s="12"/>
      <c r="G55" s="12">
        <f>152</f>
        <v>152</v>
      </c>
      <c r="H55" s="12">
        <f>1274</f>
        <v>1274</v>
      </c>
    </row>
    <row r="56" spans="1:8" ht="15">
      <c r="A56" s="4" t="str">
        <f>"98-12-21"</f>
        <v>98-12-21</v>
      </c>
      <c r="B56" s="4" t="str">
        <f>"VH8C210002"</f>
        <v>VH8C210002</v>
      </c>
      <c r="C56" s="4" t="str">
        <f>"合庫台大"</f>
        <v>合庫台大</v>
      </c>
      <c r="D56" s="4" t="str">
        <f>"本會"</f>
        <v>本會</v>
      </c>
      <c r="E56" s="4" t="str">
        <f t="shared" si="3"/>
        <v>貸</v>
      </c>
      <c r="F56" s="12"/>
      <c r="G56" s="12">
        <f>2963</f>
        <v>2963</v>
      </c>
      <c r="H56" s="12">
        <f>4237</f>
        <v>4237</v>
      </c>
    </row>
    <row r="57" spans="1:8" ht="15">
      <c r="A57" s="4">
        <f>""</f>
      </c>
      <c r="B57" s="4" t="str">
        <f>"月小計"</f>
        <v>月小計</v>
      </c>
      <c r="C57" s="4">
        <f>""</f>
      </c>
      <c r="D57" s="4">
        <f>""</f>
      </c>
      <c r="E57" s="4" t="str">
        <f t="shared" si="3"/>
        <v>貸</v>
      </c>
      <c r="F57" s="12"/>
      <c r="G57" s="12">
        <f>3115</f>
        <v>3115</v>
      </c>
      <c r="H57" s="12">
        <f>4237</f>
        <v>4237</v>
      </c>
    </row>
    <row r="58" spans="1:9" ht="15.75">
      <c r="A58" s="4">
        <f>""</f>
      </c>
      <c r="B58" s="4" t="str">
        <f>"合    計"</f>
        <v>合    計</v>
      </c>
      <c r="C58" s="4">
        <f>""</f>
      </c>
      <c r="D58" s="4">
        <f>""</f>
      </c>
      <c r="E58" s="4" t="str">
        <f t="shared" si="3"/>
        <v>貸</v>
      </c>
      <c r="F58" s="12"/>
      <c r="G58" s="12">
        <f>4237</f>
        <v>4237</v>
      </c>
      <c r="H58" s="12">
        <f>4237</f>
        <v>4237</v>
      </c>
      <c r="I58" s="16" t="s">
        <v>38</v>
      </c>
    </row>
    <row r="59" spans="1:8" ht="15">
      <c r="A59" s="4">
        <f>""</f>
      </c>
      <c r="B59" s="4" t="str">
        <f>"承上期"</f>
        <v>承上期</v>
      </c>
      <c r="C59" s="4">
        <f>""</f>
      </c>
      <c r="D59" s="4">
        <f>""</f>
      </c>
      <c r="E59" s="4">
        <f>""</f>
      </c>
      <c r="F59" s="12"/>
      <c r="G59" s="12"/>
      <c r="H59" s="12"/>
    </row>
    <row r="60" spans="1:8" ht="15">
      <c r="A60" s="4" t="str">
        <f>"98-01-23"</f>
        <v>98-01-23</v>
      </c>
      <c r="B60" s="4" t="str">
        <f>"VH81230002"</f>
        <v>VH81230002</v>
      </c>
      <c r="C60" s="4" t="str">
        <f>"*561-563"</f>
        <v>*561-563</v>
      </c>
      <c r="D60" s="4" t="str">
        <f>"本會"</f>
        <v>本會</v>
      </c>
      <c r="E60" s="4" t="str">
        <f aca="true" t="shared" si="4" ref="E60:E81">"貸"</f>
        <v>貸</v>
      </c>
      <c r="F60" s="12"/>
      <c r="G60" s="12">
        <f>4000</f>
        <v>4000</v>
      </c>
      <c r="H60" s="12">
        <f>4000</f>
        <v>4000</v>
      </c>
    </row>
    <row r="61" spans="1:8" ht="15">
      <c r="A61" s="4">
        <f>""</f>
      </c>
      <c r="B61" s="4" t="str">
        <f>"月小計"</f>
        <v>月小計</v>
      </c>
      <c r="C61" s="4">
        <f>""</f>
      </c>
      <c r="D61" s="4">
        <f>""</f>
      </c>
      <c r="E61" s="4" t="str">
        <f t="shared" si="4"/>
        <v>貸</v>
      </c>
      <c r="F61" s="12"/>
      <c r="G61" s="12">
        <f>4000</f>
        <v>4000</v>
      </c>
      <c r="H61" s="12">
        <f>4000</f>
        <v>4000</v>
      </c>
    </row>
    <row r="62" spans="1:8" ht="15">
      <c r="A62" s="4" t="str">
        <f>"98-02-03"</f>
        <v>98-02-03</v>
      </c>
      <c r="B62" s="4" t="str">
        <f>"VH82030004"</f>
        <v>VH82030004</v>
      </c>
      <c r="C62" s="4" t="str">
        <f>"黃敘愷年費退費"</f>
        <v>黃敘愷年費退費</v>
      </c>
      <c r="D62" s="4" t="str">
        <f>"本會"</f>
        <v>本會</v>
      </c>
      <c r="E62" s="4" t="str">
        <f t="shared" si="4"/>
        <v>貸</v>
      </c>
      <c r="F62" s="12">
        <f>2000</f>
        <v>2000</v>
      </c>
      <c r="G62" s="12"/>
      <c r="H62" s="12">
        <f>2000</f>
        <v>2000</v>
      </c>
    </row>
    <row r="63" spans="1:8" ht="15">
      <c r="A63" s="4" t="str">
        <f>"98-02-10"</f>
        <v>98-02-10</v>
      </c>
      <c r="B63" s="4" t="str">
        <f>"VH82100001"</f>
        <v>VH82100001</v>
      </c>
      <c r="C63" s="4" t="str">
        <f>"*564-567"</f>
        <v>*564-567</v>
      </c>
      <c r="D63" s="4" t="str">
        <f>"本會"</f>
        <v>本會</v>
      </c>
      <c r="E63" s="4" t="str">
        <f t="shared" si="4"/>
        <v>貸</v>
      </c>
      <c r="F63" s="12"/>
      <c r="G63" s="12">
        <f>4000</f>
        <v>4000</v>
      </c>
      <c r="H63" s="12">
        <f>6000</f>
        <v>6000</v>
      </c>
    </row>
    <row r="64" spans="1:8" ht="15">
      <c r="A64" s="4" t="str">
        <f>"98-02-26"</f>
        <v>98-02-26</v>
      </c>
      <c r="B64" s="4" t="str">
        <f>"VH82260001"</f>
        <v>VH82260001</v>
      </c>
      <c r="C64" s="4" t="str">
        <f>"*568-572"</f>
        <v>*568-572</v>
      </c>
      <c r="D64" s="4" t="str">
        <f>"本會"</f>
        <v>本會</v>
      </c>
      <c r="E64" s="4" t="str">
        <f t="shared" si="4"/>
        <v>貸</v>
      </c>
      <c r="F64" s="12"/>
      <c r="G64" s="12">
        <f>8000</f>
        <v>8000</v>
      </c>
      <c r="H64" s="12">
        <f>14000</f>
        <v>14000</v>
      </c>
    </row>
    <row r="65" spans="1:8" ht="15">
      <c r="A65" s="4">
        <f>""</f>
      </c>
      <c r="B65" s="4" t="str">
        <f>"月小計"</f>
        <v>月小計</v>
      </c>
      <c r="C65" s="4">
        <f>""</f>
      </c>
      <c r="D65" s="4">
        <f>""</f>
      </c>
      <c r="E65" s="4" t="str">
        <f t="shared" si="4"/>
        <v>貸</v>
      </c>
      <c r="F65" s="12">
        <f>2000</f>
        <v>2000</v>
      </c>
      <c r="G65" s="12">
        <f>12000</f>
        <v>12000</v>
      </c>
      <c r="H65" s="12">
        <f>14000</f>
        <v>14000</v>
      </c>
    </row>
    <row r="66" spans="1:8" ht="15">
      <c r="A66" s="4" t="str">
        <f>"98-03-13"</f>
        <v>98-03-13</v>
      </c>
      <c r="B66" s="4" t="str">
        <f>"VH83130002"</f>
        <v>VH83130002</v>
      </c>
      <c r="C66" s="4" t="str">
        <f>"3/8現場收費"</f>
        <v>3/8現場收費</v>
      </c>
      <c r="D66" s="4" t="str">
        <f>"本會"</f>
        <v>本會</v>
      </c>
      <c r="E66" s="4" t="str">
        <f t="shared" si="4"/>
        <v>貸</v>
      </c>
      <c r="F66" s="12"/>
      <c r="G66" s="12">
        <f>62500</f>
        <v>62500</v>
      </c>
      <c r="H66" s="12">
        <f>76500</f>
        <v>76500</v>
      </c>
    </row>
    <row r="67" spans="1:8" ht="15">
      <c r="A67" s="4" t="str">
        <f>"98-03-27"</f>
        <v>98-03-27</v>
      </c>
      <c r="B67" s="4" t="str">
        <f>"VH83270003"</f>
        <v>VH83270003</v>
      </c>
      <c r="C67" s="4" t="str">
        <f>"*573-577"</f>
        <v>*573-577</v>
      </c>
      <c r="D67" s="4" t="str">
        <f>"本會"</f>
        <v>本會</v>
      </c>
      <c r="E67" s="4" t="str">
        <f t="shared" si="4"/>
        <v>貸</v>
      </c>
      <c r="F67" s="12"/>
      <c r="G67" s="12">
        <f>14000</f>
        <v>14000</v>
      </c>
      <c r="H67" s="12">
        <f>90500</f>
        <v>90500</v>
      </c>
    </row>
    <row r="68" spans="1:8" ht="15">
      <c r="A68" s="4">
        <f>""</f>
      </c>
      <c r="B68" s="4" t="str">
        <f>"月小計"</f>
        <v>月小計</v>
      </c>
      <c r="C68" s="4">
        <f>""</f>
      </c>
      <c r="D68" s="4">
        <f>""</f>
      </c>
      <c r="E68" s="4" t="str">
        <f t="shared" si="4"/>
        <v>貸</v>
      </c>
      <c r="F68" s="12"/>
      <c r="G68" s="12">
        <f>76500</f>
        <v>76500</v>
      </c>
      <c r="H68" s="12">
        <f>90500</f>
        <v>90500</v>
      </c>
    </row>
    <row r="69" spans="1:8" ht="15">
      <c r="A69" s="4" t="str">
        <f>"98-06-21"</f>
        <v>98-06-21</v>
      </c>
      <c r="B69" s="4" t="str">
        <f>"VH86210001"</f>
        <v>VH86210001</v>
      </c>
      <c r="C69" s="4" t="str">
        <f>"*578-580"</f>
        <v>*578-580</v>
      </c>
      <c r="D69" s="4" t="str">
        <f>"本會"</f>
        <v>本會</v>
      </c>
      <c r="E69" s="4" t="str">
        <f t="shared" si="4"/>
        <v>貸</v>
      </c>
      <c r="F69" s="12"/>
      <c r="G69" s="12">
        <f>3000</f>
        <v>3000</v>
      </c>
      <c r="H69" s="12">
        <f>93500</f>
        <v>93500</v>
      </c>
    </row>
    <row r="70" spans="1:8" ht="15">
      <c r="A70" s="4">
        <f>""</f>
      </c>
      <c r="B70" s="4" t="str">
        <f>"月小計"</f>
        <v>月小計</v>
      </c>
      <c r="C70" s="4">
        <f>""</f>
      </c>
      <c r="D70" s="4">
        <f>""</f>
      </c>
      <c r="E70" s="4" t="str">
        <f t="shared" si="4"/>
        <v>貸</v>
      </c>
      <c r="F70" s="12"/>
      <c r="G70" s="12">
        <f>3000</f>
        <v>3000</v>
      </c>
      <c r="H70" s="12">
        <f>93500</f>
        <v>93500</v>
      </c>
    </row>
    <row r="71" spans="1:8" ht="15">
      <c r="A71" s="4" t="str">
        <f>"98-07-09"</f>
        <v>98-07-09</v>
      </c>
      <c r="B71" s="4" t="str">
        <f>"VH87090001"</f>
        <v>VH87090001</v>
      </c>
      <c r="C71" s="4" t="str">
        <f>"581-590"</f>
        <v>581-590</v>
      </c>
      <c r="D71" s="4" t="str">
        <f>"本會"</f>
        <v>本會</v>
      </c>
      <c r="E71" s="4" t="str">
        <f t="shared" si="4"/>
        <v>貸</v>
      </c>
      <c r="F71" s="12"/>
      <c r="G71" s="12">
        <f>9000</f>
        <v>9000</v>
      </c>
      <c r="H71" s="12">
        <f>102500</f>
        <v>102500</v>
      </c>
    </row>
    <row r="72" spans="1:8" ht="15">
      <c r="A72" s="4" t="str">
        <f>"98-07-31"</f>
        <v>98-07-31</v>
      </c>
      <c r="B72" s="4" t="str">
        <f>"VH87310001"</f>
        <v>VH87310001</v>
      </c>
      <c r="C72" s="4" t="str">
        <f>"591-600"</f>
        <v>591-600</v>
      </c>
      <c r="D72" s="4" t="str">
        <f>"本會"</f>
        <v>本會</v>
      </c>
      <c r="E72" s="4" t="str">
        <f t="shared" si="4"/>
        <v>貸</v>
      </c>
      <c r="F72" s="12"/>
      <c r="G72" s="12">
        <f>8000</f>
        <v>8000</v>
      </c>
      <c r="H72" s="12">
        <f>110500</f>
        <v>110500</v>
      </c>
    </row>
    <row r="73" spans="1:8" ht="15">
      <c r="A73" s="4">
        <f>""</f>
      </c>
      <c r="B73" s="4" t="str">
        <f>"月小計"</f>
        <v>月小計</v>
      </c>
      <c r="C73" s="4">
        <f>""</f>
      </c>
      <c r="D73" s="4">
        <f>""</f>
      </c>
      <c r="E73" s="4" t="str">
        <f t="shared" si="4"/>
        <v>貸</v>
      </c>
      <c r="F73" s="12"/>
      <c r="G73" s="12">
        <f>17000</f>
        <v>17000</v>
      </c>
      <c r="H73" s="12">
        <f>110500</f>
        <v>110500</v>
      </c>
    </row>
    <row r="74" spans="1:8" ht="15">
      <c r="A74" s="4" t="str">
        <f>"98-08-31"</f>
        <v>98-08-31</v>
      </c>
      <c r="B74" s="4" t="str">
        <f>"VH88310002"</f>
        <v>VH88310002</v>
      </c>
      <c r="C74" s="4" t="str">
        <f>"601-608"</f>
        <v>601-608</v>
      </c>
      <c r="D74" s="4" t="str">
        <f>"本會"</f>
        <v>本會</v>
      </c>
      <c r="E74" s="4" t="str">
        <f t="shared" si="4"/>
        <v>貸</v>
      </c>
      <c r="F74" s="12"/>
      <c r="G74" s="12">
        <f>6500</f>
        <v>6500</v>
      </c>
      <c r="H74" s="12">
        <f>117000</f>
        <v>117000</v>
      </c>
    </row>
    <row r="75" spans="1:8" ht="15">
      <c r="A75" s="4">
        <f>""</f>
      </c>
      <c r="B75" s="4" t="str">
        <f>"月小計"</f>
        <v>月小計</v>
      </c>
      <c r="C75" s="4">
        <f>""</f>
      </c>
      <c r="D75" s="4">
        <f>""</f>
      </c>
      <c r="E75" s="4" t="str">
        <f t="shared" si="4"/>
        <v>貸</v>
      </c>
      <c r="F75" s="12"/>
      <c r="G75" s="12">
        <f>6500</f>
        <v>6500</v>
      </c>
      <c r="H75" s="12">
        <f>117000</f>
        <v>117000</v>
      </c>
    </row>
    <row r="76" spans="1:8" ht="15">
      <c r="A76" s="4" t="str">
        <f>"98-11-18"</f>
        <v>98-11-18</v>
      </c>
      <c r="B76" s="4" t="str">
        <f>"VH8B180001"</f>
        <v>VH8B180001</v>
      </c>
      <c r="C76" s="4">
        <f>""</f>
      </c>
      <c r="D76" s="4" t="str">
        <f>"本會"</f>
        <v>本會</v>
      </c>
      <c r="E76" s="4" t="str">
        <f t="shared" si="4"/>
        <v>貸</v>
      </c>
      <c r="F76" s="12"/>
      <c r="G76" s="12">
        <f>1166500</f>
        <v>1166500</v>
      </c>
      <c r="H76" s="12">
        <f>1283500</f>
        <v>1283500</v>
      </c>
    </row>
    <row r="77" spans="1:8" ht="15">
      <c r="A77" s="4">
        <f>""</f>
      </c>
      <c r="B77" s="4" t="str">
        <f>"月小計"</f>
        <v>月小計</v>
      </c>
      <c r="C77" s="4">
        <f>""</f>
      </c>
      <c r="D77" s="4">
        <f>""</f>
      </c>
      <c r="E77" s="4" t="str">
        <f t="shared" si="4"/>
        <v>貸</v>
      </c>
      <c r="F77" s="12"/>
      <c r="G77" s="12">
        <f>1166500</f>
        <v>1166500</v>
      </c>
      <c r="H77" s="12">
        <f>1283500</f>
        <v>1283500</v>
      </c>
    </row>
    <row r="78" spans="1:8" ht="15">
      <c r="A78" s="4" t="str">
        <f>"98-12-03"</f>
        <v>98-12-03</v>
      </c>
      <c r="B78" s="4" t="str">
        <f>"VH8C030001"</f>
        <v>VH8C030001</v>
      </c>
      <c r="C78" s="4" t="str">
        <f>"張玉蓮退費"</f>
        <v>張玉蓮退費</v>
      </c>
      <c r="D78" s="4" t="str">
        <f>"本會"</f>
        <v>本會</v>
      </c>
      <c r="E78" s="4" t="str">
        <f t="shared" si="4"/>
        <v>貸</v>
      </c>
      <c r="F78" s="12">
        <f>4500</f>
        <v>4500</v>
      </c>
      <c r="G78" s="12"/>
      <c r="H78" s="12">
        <f>1279000</f>
        <v>1279000</v>
      </c>
    </row>
    <row r="79" spans="1:8" ht="15">
      <c r="A79" s="4" t="str">
        <f>"98-12-21"</f>
        <v>98-12-21</v>
      </c>
      <c r="B79" s="4" t="str">
        <f>"VH8C210001"</f>
        <v>VH8C210001</v>
      </c>
      <c r="C79" s="4" t="str">
        <f>"614-622"</f>
        <v>614-622</v>
      </c>
      <c r="D79" s="4" t="str">
        <f>"本會"</f>
        <v>本會</v>
      </c>
      <c r="E79" s="4" t="str">
        <f t="shared" si="4"/>
        <v>貸</v>
      </c>
      <c r="F79" s="12"/>
      <c r="G79" s="12">
        <f>15000</f>
        <v>15000</v>
      </c>
      <c r="H79" s="12">
        <f>1294000</f>
        <v>1294000</v>
      </c>
    </row>
    <row r="80" spans="1:8" ht="15">
      <c r="A80" s="4">
        <f>""</f>
      </c>
      <c r="B80" s="4" t="str">
        <f>"月小計"</f>
        <v>月小計</v>
      </c>
      <c r="C80" s="4">
        <f>""</f>
      </c>
      <c r="D80" s="4">
        <f>""</f>
      </c>
      <c r="E80" s="4" t="str">
        <f t="shared" si="4"/>
        <v>貸</v>
      </c>
      <c r="F80" s="12">
        <f>4500</f>
        <v>4500</v>
      </c>
      <c r="G80" s="12">
        <f>15000</f>
        <v>15000</v>
      </c>
      <c r="H80" s="12">
        <f>1294000</f>
        <v>1294000</v>
      </c>
    </row>
    <row r="81" spans="1:9" ht="15.75">
      <c r="A81" s="4">
        <f>""</f>
      </c>
      <c r="B81" s="4" t="str">
        <f>"合    計"</f>
        <v>合    計</v>
      </c>
      <c r="C81" s="4">
        <f>""</f>
      </c>
      <c r="D81" s="4">
        <f>""</f>
      </c>
      <c r="E81" s="4" t="str">
        <f t="shared" si="4"/>
        <v>貸</v>
      </c>
      <c r="F81" s="12">
        <f>6500</f>
        <v>6500</v>
      </c>
      <c r="G81" s="12">
        <f>1300500</f>
        <v>1300500</v>
      </c>
      <c r="H81" s="12">
        <f>1294000</f>
        <v>1294000</v>
      </c>
      <c r="I81" s="16" t="s">
        <v>16</v>
      </c>
    </row>
    <row r="82" spans="1:8" ht="15">
      <c r="A82" s="4">
        <f>""</f>
      </c>
      <c r="B82" s="4" t="str">
        <f>"承上期"</f>
        <v>承上期</v>
      </c>
      <c r="C82" s="4">
        <f>""</f>
      </c>
      <c r="D82" s="4">
        <f>""</f>
      </c>
      <c r="E82" s="4">
        <f>""</f>
      </c>
      <c r="F82" s="12"/>
      <c r="G82" s="12"/>
      <c r="H82" s="12"/>
    </row>
    <row r="83" spans="1:8" ht="15">
      <c r="A83" s="4" t="str">
        <f>"98-09-15"</f>
        <v>98-09-15</v>
      </c>
      <c r="B83" s="4" t="str">
        <f>"VH89150001"</f>
        <v>VH89150001</v>
      </c>
      <c r="C83" s="4" t="str">
        <f>"惠興"</f>
        <v>惠興</v>
      </c>
      <c r="D83" s="4" t="str">
        <f>"本會"</f>
        <v>本會</v>
      </c>
      <c r="E83" s="4" t="str">
        <f aca="true" t="shared" si="5" ref="E83:E99">"貸"</f>
        <v>貸</v>
      </c>
      <c r="F83" s="12"/>
      <c r="G83" s="12">
        <f>50000</f>
        <v>50000</v>
      </c>
      <c r="H83" s="12">
        <f>50000</f>
        <v>50000</v>
      </c>
    </row>
    <row r="84" spans="1:8" ht="15">
      <c r="A84" s="4" t="str">
        <f>"98-09-28"</f>
        <v>98-09-28</v>
      </c>
      <c r="B84" s="4" t="str">
        <f>"VH89280001"</f>
        <v>VH89280001</v>
      </c>
      <c r="C84" s="4" t="str">
        <f>"元佑"</f>
        <v>元佑</v>
      </c>
      <c r="D84" s="4" t="str">
        <f>"本會"</f>
        <v>本會</v>
      </c>
      <c r="E84" s="4" t="str">
        <f t="shared" si="5"/>
        <v>貸</v>
      </c>
      <c r="F84" s="12"/>
      <c r="G84" s="12">
        <f>150000</f>
        <v>150000</v>
      </c>
      <c r="H84" s="12">
        <f>200000</f>
        <v>200000</v>
      </c>
    </row>
    <row r="85" spans="1:8" ht="15">
      <c r="A85" s="4" t="str">
        <f>"98-09-30"</f>
        <v>98-09-30</v>
      </c>
      <c r="B85" s="4" t="str">
        <f>"VH89300001"</f>
        <v>VH89300001</v>
      </c>
      <c r="C85" s="4" t="str">
        <f>"鼎昱科技"</f>
        <v>鼎昱科技</v>
      </c>
      <c r="D85" s="4" t="str">
        <f>"本會"</f>
        <v>本會</v>
      </c>
      <c r="E85" s="4" t="str">
        <f t="shared" si="5"/>
        <v>貸</v>
      </c>
      <c r="F85" s="12"/>
      <c r="G85" s="12">
        <f>50000</f>
        <v>50000</v>
      </c>
      <c r="H85" s="12">
        <f>250000</f>
        <v>250000</v>
      </c>
    </row>
    <row r="86" spans="1:8" ht="15">
      <c r="A86" s="4" t="str">
        <f>"98-09-30"</f>
        <v>98-09-30</v>
      </c>
      <c r="B86" s="4" t="str">
        <f>"VH89300001"</f>
        <v>VH89300001</v>
      </c>
      <c r="C86" s="4" t="str">
        <f>"正雍有限"</f>
        <v>正雍有限</v>
      </c>
      <c r="D86" s="4" t="str">
        <f>"本會"</f>
        <v>本會</v>
      </c>
      <c r="E86" s="4" t="str">
        <f t="shared" si="5"/>
        <v>貸</v>
      </c>
      <c r="F86" s="12"/>
      <c r="G86" s="12">
        <f>50000</f>
        <v>50000</v>
      </c>
      <c r="H86" s="12">
        <f>300000</f>
        <v>300000</v>
      </c>
    </row>
    <row r="87" spans="1:8" ht="15">
      <c r="A87" s="4">
        <f>""</f>
      </c>
      <c r="B87" s="4" t="str">
        <f>"月小計"</f>
        <v>月小計</v>
      </c>
      <c r="C87" s="4">
        <f>""</f>
      </c>
      <c r="D87" s="4">
        <f>""</f>
      </c>
      <c r="E87" s="4" t="str">
        <f t="shared" si="5"/>
        <v>貸</v>
      </c>
      <c r="F87" s="12"/>
      <c r="G87" s="12">
        <f>300000</f>
        <v>300000</v>
      </c>
      <c r="H87" s="12">
        <f>300000</f>
        <v>300000</v>
      </c>
    </row>
    <row r="88" spans="1:8" ht="15">
      <c r="A88" s="4" t="str">
        <f>"98-10-15"</f>
        <v>98-10-15</v>
      </c>
      <c r="B88" s="4" t="str">
        <f>"VH8A150001"</f>
        <v>VH8A150001</v>
      </c>
      <c r="C88" s="4" t="str">
        <f>"華億"</f>
        <v>華億</v>
      </c>
      <c r="D88" s="4" t="str">
        <f>"本會"</f>
        <v>本會</v>
      </c>
      <c r="E88" s="4" t="str">
        <f t="shared" si="5"/>
        <v>貸</v>
      </c>
      <c r="F88" s="12"/>
      <c r="G88" s="12">
        <f>50000</f>
        <v>50000</v>
      </c>
      <c r="H88" s="12">
        <f>350000</f>
        <v>350000</v>
      </c>
    </row>
    <row r="89" spans="1:8" ht="15">
      <c r="A89" s="4" t="str">
        <f>"98-10-15"</f>
        <v>98-10-15</v>
      </c>
      <c r="B89" s="4" t="str">
        <f>"VH8A150002"</f>
        <v>VH8A150002</v>
      </c>
      <c r="C89" s="4" t="str">
        <f>"南發"</f>
        <v>南發</v>
      </c>
      <c r="D89" s="4" t="str">
        <f>"本會"</f>
        <v>本會</v>
      </c>
      <c r="E89" s="4" t="str">
        <f t="shared" si="5"/>
        <v>貸</v>
      </c>
      <c r="F89" s="12"/>
      <c r="G89" s="12">
        <f>50000</f>
        <v>50000</v>
      </c>
      <c r="H89" s="12">
        <f>400000</f>
        <v>400000</v>
      </c>
    </row>
    <row r="90" spans="1:8" ht="15">
      <c r="A90" s="4" t="str">
        <f>"98-10-23"</f>
        <v>98-10-23</v>
      </c>
      <c r="B90" s="4" t="str">
        <f>"VH8A230001"</f>
        <v>VH8A230001</v>
      </c>
      <c r="C90" s="4" t="str">
        <f>"日商泰爾"</f>
        <v>日商泰爾</v>
      </c>
      <c r="D90" s="4" t="str">
        <f>"本會"</f>
        <v>本會</v>
      </c>
      <c r="E90" s="4" t="str">
        <f t="shared" si="5"/>
        <v>貸</v>
      </c>
      <c r="F90" s="12"/>
      <c r="G90" s="12">
        <f>50000</f>
        <v>50000</v>
      </c>
      <c r="H90" s="12">
        <f>450000</f>
        <v>450000</v>
      </c>
    </row>
    <row r="91" spans="1:8" ht="15">
      <c r="A91" s="4" t="str">
        <f>"98-10-28"</f>
        <v>98-10-28</v>
      </c>
      <c r="B91" s="4" t="str">
        <f>"VH8A280001"</f>
        <v>VH8A280001</v>
      </c>
      <c r="C91" s="4" t="str">
        <f>"華億"</f>
        <v>華億</v>
      </c>
      <c r="D91" s="4" t="str">
        <f>"本會"</f>
        <v>本會</v>
      </c>
      <c r="E91" s="4" t="str">
        <f t="shared" si="5"/>
        <v>貸</v>
      </c>
      <c r="F91" s="12"/>
      <c r="G91" s="12">
        <f>100000</f>
        <v>100000</v>
      </c>
      <c r="H91" s="12">
        <f>550000</f>
        <v>550000</v>
      </c>
    </row>
    <row r="92" spans="1:8" ht="15">
      <c r="A92" s="4">
        <f>""</f>
      </c>
      <c r="B92" s="4" t="str">
        <f>"月小計"</f>
        <v>月小計</v>
      </c>
      <c r="C92" s="4">
        <f>""</f>
      </c>
      <c r="D92" s="4">
        <f>""</f>
      </c>
      <c r="E92" s="4" t="str">
        <f t="shared" si="5"/>
        <v>貸</v>
      </c>
      <c r="F92" s="12"/>
      <c r="G92" s="12">
        <f>250000</f>
        <v>250000</v>
      </c>
      <c r="H92" s="12">
        <f>550000</f>
        <v>550000</v>
      </c>
    </row>
    <row r="93" spans="1:8" ht="15">
      <c r="A93" s="4" t="str">
        <f>"98-11-05"</f>
        <v>98-11-05</v>
      </c>
      <c r="B93" s="4" t="str">
        <f>"VH8B050002"</f>
        <v>VH8B050002</v>
      </c>
      <c r="C93" s="4" t="str">
        <f>"英商壯生和"</f>
        <v>英商壯生和</v>
      </c>
      <c r="D93" s="4" t="str">
        <f>"本會"</f>
        <v>本會</v>
      </c>
      <c r="E93" s="4" t="str">
        <f t="shared" si="5"/>
        <v>貸</v>
      </c>
      <c r="F93" s="12"/>
      <c r="G93" s="12">
        <f>175000</f>
        <v>175000</v>
      </c>
      <c r="H93" s="12">
        <f>725000</f>
        <v>725000</v>
      </c>
    </row>
    <row r="94" spans="1:8" ht="15">
      <c r="A94" s="4" t="str">
        <f>"98-11-05"</f>
        <v>98-11-05</v>
      </c>
      <c r="B94" s="4" t="str">
        <f>"VH8B050002"</f>
        <v>VH8B050002</v>
      </c>
      <c r="C94" s="4" t="str">
        <f>"TYCOH"</f>
        <v>TYCOH</v>
      </c>
      <c r="D94" s="4" t="str">
        <f>"本會"</f>
        <v>本會</v>
      </c>
      <c r="E94" s="4" t="str">
        <f t="shared" si="5"/>
        <v>貸</v>
      </c>
      <c r="F94" s="12"/>
      <c r="G94" s="12">
        <f>155000</f>
        <v>155000</v>
      </c>
      <c r="H94" s="12">
        <f>880000</f>
        <v>880000</v>
      </c>
    </row>
    <row r="95" spans="1:8" ht="15">
      <c r="A95" s="4" t="str">
        <f>"98-11-11"</f>
        <v>98-11-11</v>
      </c>
      <c r="B95" s="4" t="str">
        <f>"VH8B110003"</f>
        <v>VH8B110003</v>
      </c>
      <c r="C95" s="4" t="str">
        <f>"台灣愛德華"</f>
        <v>台灣愛德華</v>
      </c>
      <c r="D95" s="4" t="str">
        <f>"本會"</f>
        <v>本會</v>
      </c>
      <c r="E95" s="4" t="str">
        <f t="shared" si="5"/>
        <v>貸</v>
      </c>
      <c r="F95" s="12"/>
      <c r="G95" s="12">
        <f>100000</f>
        <v>100000</v>
      </c>
      <c r="H95" s="12">
        <f>980000</f>
        <v>980000</v>
      </c>
    </row>
    <row r="96" spans="1:8" ht="15">
      <c r="A96" s="4" t="str">
        <f>"98-11-25"</f>
        <v>98-11-25</v>
      </c>
      <c r="B96" s="4" t="str">
        <f>"VH8B250002"</f>
        <v>VH8B250002</v>
      </c>
      <c r="C96" s="4" t="str">
        <f>"雷家"</f>
        <v>雷家</v>
      </c>
      <c r="D96" s="4" t="str">
        <f>"本會"</f>
        <v>本會</v>
      </c>
      <c r="E96" s="4" t="str">
        <f t="shared" si="5"/>
        <v>貸</v>
      </c>
      <c r="F96" s="12"/>
      <c r="G96" s="12">
        <f>50000</f>
        <v>50000</v>
      </c>
      <c r="H96" s="12">
        <f>1030000</f>
        <v>1030000</v>
      </c>
    </row>
    <row r="97" spans="1:8" ht="15">
      <c r="A97" s="4" t="str">
        <f>"98-11-25"</f>
        <v>98-11-25</v>
      </c>
      <c r="B97" s="4" t="str">
        <f>"VH8B250002"</f>
        <v>VH8B250002</v>
      </c>
      <c r="C97" s="4" t="str">
        <f>"力大圖書"</f>
        <v>力大圖書</v>
      </c>
      <c r="D97" s="4" t="str">
        <f>"本會"</f>
        <v>本會</v>
      </c>
      <c r="E97" s="4" t="str">
        <f t="shared" si="5"/>
        <v>貸</v>
      </c>
      <c r="F97" s="12"/>
      <c r="G97" s="12">
        <f>10000</f>
        <v>10000</v>
      </c>
      <c r="H97" s="12">
        <f>1040000</f>
        <v>1040000</v>
      </c>
    </row>
    <row r="98" spans="1:8" ht="15">
      <c r="A98" s="4">
        <f>""</f>
      </c>
      <c r="B98" s="4" t="str">
        <f>"月小計"</f>
        <v>月小計</v>
      </c>
      <c r="C98" s="4">
        <f>""</f>
      </c>
      <c r="D98" s="4">
        <f>""</f>
      </c>
      <c r="E98" s="4" t="str">
        <f t="shared" si="5"/>
        <v>貸</v>
      </c>
      <c r="F98" s="12"/>
      <c r="G98" s="12">
        <f>490000</f>
        <v>490000</v>
      </c>
      <c r="H98" s="12">
        <f>1040000</f>
        <v>1040000</v>
      </c>
    </row>
    <row r="99" spans="1:9" ht="15.75">
      <c r="A99" s="4">
        <f>""</f>
      </c>
      <c r="B99" s="4" t="str">
        <f>"合    計"</f>
        <v>合    計</v>
      </c>
      <c r="C99" s="4">
        <f>""</f>
      </c>
      <c r="D99" s="4">
        <f>""</f>
      </c>
      <c r="E99" s="4" t="str">
        <f t="shared" si="5"/>
        <v>貸</v>
      </c>
      <c r="F99" s="12"/>
      <c r="G99" s="12">
        <f>1040000</f>
        <v>1040000</v>
      </c>
      <c r="H99" s="12">
        <f>1040000</f>
        <v>1040000</v>
      </c>
      <c r="I99" s="16" t="s">
        <v>17</v>
      </c>
    </row>
    <row r="100" spans="1:8" ht="15">
      <c r="A100" s="4">
        <f>""</f>
      </c>
      <c r="B100" s="4" t="str">
        <f>"承上期"</f>
        <v>承上期</v>
      </c>
      <c r="C100" s="4">
        <f>""</f>
      </c>
      <c r="D100" s="4">
        <f>""</f>
      </c>
      <c r="E100" s="4">
        <f>""</f>
      </c>
      <c r="F100" s="12"/>
      <c r="G100" s="12"/>
      <c r="H100" s="12"/>
    </row>
    <row r="101" spans="1:8" ht="15">
      <c r="A101" s="4" t="str">
        <f>"98-07-23"</f>
        <v>98-07-23</v>
      </c>
      <c r="B101" s="4" t="str">
        <f>"VH87230001"</f>
        <v>VH87230001</v>
      </c>
      <c r="C101" s="4" t="str">
        <f>"華諾贊助"</f>
        <v>華諾贊助</v>
      </c>
      <c r="D101" s="4" t="str">
        <f>"本會"</f>
        <v>本會</v>
      </c>
      <c r="E101" s="4" t="str">
        <f aca="true" t="shared" si="6" ref="E101:E109">"貸"</f>
        <v>貸</v>
      </c>
      <c r="F101" s="12"/>
      <c r="G101" s="12">
        <f>150000</f>
        <v>150000</v>
      </c>
      <c r="H101" s="12">
        <f>150000</f>
        <v>150000</v>
      </c>
    </row>
    <row r="102" spans="1:8" ht="15">
      <c r="A102" s="4">
        <f>""</f>
      </c>
      <c r="B102" s="4" t="str">
        <f>"月小計"</f>
        <v>月小計</v>
      </c>
      <c r="C102" s="4">
        <f>""</f>
      </c>
      <c r="D102" s="4">
        <f>""</f>
      </c>
      <c r="E102" s="4" t="str">
        <f t="shared" si="6"/>
        <v>貸</v>
      </c>
      <c r="F102" s="12"/>
      <c r="G102" s="12">
        <f>150000</f>
        <v>150000</v>
      </c>
      <c r="H102" s="12">
        <f>150000</f>
        <v>150000</v>
      </c>
    </row>
    <row r="103" spans="1:8" ht="15">
      <c r="A103" s="4" t="str">
        <f>"98-11-04"</f>
        <v>98-11-04</v>
      </c>
      <c r="B103" s="4" t="str">
        <f>"VH8B040001"</f>
        <v>VH8B040001</v>
      </c>
      <c r="C103" s="4" t="str">
        <f>"大琢製"</f>
        <v>大琢製</v>
      </c>
      <c r="D103" s="4" t="str">
        <f>"本會"</f>
        <v>本會</v>
      </c>
      <c r="E103" s="4" t="str">
        <f t="shared" si="6"/>
        <v>貸</v>
      </c>
      <c r="F103" s="12"/>
      <c r="G103" s="12">
        <f>20000</f>
        <v>20000</v>
      </c>
      <c r="H103" s="12">
        <f>170000</f>
        <v>170000</v>
      </c>
    </row>
    <row r="104" spans="1:8" ht="15">
      <c r="A104" s="4" t="str">
        <f>"98-11-11"</f>
        <v>98-11-11</v>
      </c>
      <c r="B104" s="4" t="str">
        <f>"VH8B110005"</f>
        <v>VH8B110005</v>
      </c>
      <c r="C104" s="4" t="str">
        <f>"NOVAR"</f>
        <v>NOVAR</v>
      </c>
      <c r="D104" s="4" t="str">
        <f>"本會"</f>
        <v>本會</v>
      </c>
      <c r="E104" s="4" t="str">
        <f t="shared" si="6"/>
        <v>貸</v>
      </c>
      <c r="F104" s="12"/>
      <c r="G104" s="12">
        <f>30000</f>
        <v>30000</v>
      </c>
      <c r="H104" s="12">
        <f>200000</f>
        <v>200000</v>
      </c>
    </row>
    <row r="105" spans="1:8" ht="15">
      <c r="A105" s="4">
        <f>""</f>
      </c>
      <c r="B105" s="4" t="str">
        <f>"月小計"</f>
        <v>月小計</v>
      </c>
      <c r="C105" s="4">
        <f>""</f>
      </c>
      <c r="D105" s="4">
        <f>""</f>
      </c>
      <c r="E105" s="4" t="str">
        <f t="shared" si="6"/>
        <v>貸</v>
      </c>
      <c r="F105" s="12"/>
      <c r="G105" s="12">
        <f>50000</f>
        <v>50000</v>
      </c>
      <c r="H105" s="12">
        <f>200000</f>
        <v>200000</v>
      </c>
    </row>
    <row r="106" spans="1:8" ht="15">
      <c r="A106" s="4" t="str">
        <f>"98-12-21"</f>
        <v>98-12-21</v>
      </c>
      <c r="B106" s="4" t="str">
        <f>"VH8C210001"</f>
        <v>VH8C210001</v>
      </c>
      <c r="C106" s="4" t="str">
        <f>"瑞輝"</f>
        <v>瑞輝</v>
      </c>
      <c r="D106" s="4" t="str">
        <f>"本會"</f>
        <v>本會</v>
      </c>
      <c r="E106" s="4" t="str">
        <f t="shared" si="6"/>
        <v>貸</v>
      </c>
      <c r="F106" s="12"/>
      <c r="G106" s="12">
        <f>20000</f>
        <v>20000</v>
      </c>
      <c r="H106" s="12">
        <f>220000</f>
        <v>220000</v>
      </c>
    </row>
    <row r="107" spans="1:8" ht="15">
      <c r="A107" s="4" t="str">
        <f>"98-12-21"</f>
        <v>98-12-21</v>
      </c>
      <c r="B107" s="4" t="str">
        <f>"VH8C210001"</f>
        <v>VH8C210001</v>
      </c>
      <c r="C107" s="4" t="str">
        <f>"中化裕民"</f>
        <v>中化裕民</v>
      </c>
      <c r="D107" s="4" t="str">
        <f>"本會"</f>
        <v>本會</v>
      </c>
      <c r="E107" s="4" t="str">
        <f t="shared" si="6"/>
        <v>貸</v>
      </c>
      <c r="F107" s="12"/>
      <c r="G107" s="12">
        <f>24965</f>
        <v>24965</v>
      </c>
      <c r="H107" s="12">
        <f>244965</f>
        <v>244965</v>
      </c>
    </row>
    <row r="108" spans="1:8" ht="15">
      <c r="A108" s="4">
        <f>""</f>
      </c>
      <c r="B108" s="4" t="str">
        <f>"月小計"</f>
        <v>月小計</v>
      </c>
      <c r="C108" s="4">
        <f>""</f>
      </c>
      <c r="D108" s="4">
        <f>""</f>
      </c>
      <c r="E108" s="4" t="str">
        <f t="shared" si="6"/>
        <v>貸</v>
      </c>
      <c r="F108" s="12"/>
      <c r="G108" s="12">
        <f>44965</f>
        <v>44965</v>
      </c>
      <c r="H108" s="12">
        <f>244965</f>
        <v>244965</v>
      </c>
    </row>
    <row r="109" spans="1:9" ht="15.75">
      <c r="A109" s="4">
        <f>""</f>
      </c>
      <c r="B109" s="4" t="str">
        <f>"合    計"</f>
        <v>合    計</v>
      </c>
      <c r="C109" s="4">
        <f>""</f>
      </c>
      <c r="D109" s="4">
        <f>""</f>
      </c>
      <c r="E109" s="4" t="str">
        <f t="shared" si="6"/>
        <v>貸</v>
      </c>
      <c r="F109" s="12"/>
      <c r="G109" s="12">
        <f>244965</f>
        <v>244965</v>
      </c>
      <c r="H109" s="12">
        <f>244965</f>
        <v>244965</v>
      </c>
      <c r="I109" s="16" t="s">
        <v>18</v>
      </c>
    </row>
    <row r="110" spans="1:8" ht="15">
      <c r="A110" s="4">
        <f>""</f>
      </c>
      <c r="B110" s="4" t="str">
        <f>"承上期"</f>
        <v>承上期</v>
      </c>
      <c r="C110" s="4">
        <f>""</f>
      </c>
      <c r="D110" s="4">
        <f>""</f>
      </c>
      <c r="E110" s="4">
        <f>""</f>
      </c>
      <c r="F110" s="12"/>
      <c r="G110" s="12"/>
      <c r="H110" s="12"/>
    </row>
    <row r="111" spans="1:8" ht="15">
      <c r="A111" s="4" t="str">
        <f>"98-07-23"</f>
        <v>98-07-23</v>
      </c>
      <c r="B111" s="4" t="str">
        <f>"VH87230001"</f>
        <v>VH87230001</v>
      </c>
      <c r="C111" s="4" t="str">
        <f>"王水深稿費收入贊助"</f>
        <v>王水深稿費收入贊助</v>
      </c>
      <c r="D111" s="4" t="str">
        <f>"本會"</f>
        <v>本會</v>
      </c>
      <c r="E111" s="4" t="str">
        <f>"貸"</f>
        <v>貸</v>
      </c>
      <c r="F111" s="12"/>
      <c r="G111" s="12">
        <f>2458</f>
        <v>2458</v>
      </c>
      <c r="H111" s="12">
        <f>2458</f>
        <v>2458</v>
      </c>
    </row>
    <row r="112" spans="1:8" ht="15">
      <c r="A112" s="4">
        <f>""</f>
      </c>
      <c r="B112" s="4" t="str">
        <f>"月小計"</f>
        <v>月小計</v>
      </c>
      <c r="C112" s="4">
        <f>""</f>
      </c>
      <c r="D112" s="4">
        <f>""</f>
      </c>
      <c r="E112" s="4" t="str">
        <f>"貸"</f>
        <v>貸</v>
      </c>
      <c r="F112" s="12"/>
      <c r="G112" s="12">
        <f>2458</f>
        <v>2458</v>
      </c>
      <c r="H112" s="12">
        <f>2458</f>
        <v>2458</v>
      </c>
    </row>
    <row r="113" spans="1:8" ht="15">
      <c r="A113" s="4" t="str">
        <f>"98-10-09"</f>
        <v>98-10-09</v>
      </c>
      <c r="B113" s="4" t="str">
        <f>"VH8A090002"</f>
        <v>VH8A090002</v>
      </c>
      <c r="C113" s="4" t="str">
        <f>"英屬維京"</f>
        <v>英屬維京</v>
      </c>
      <c r="D113" s="4" t="str">
        <f>"本會"</f>
        <v>本會</v>
      </c>
      <c r="E113" s="4" t="str">
        <f>"貸"</f>
        <v>貸</v>
      </c>
      <c r="F113" s="12"/>
      <c r="G113" s="12">
        <f>20000</f>
        <v>20000</v>
      </c>
      <c r="H113" s="12">
        <f>22458</f>
        <v>22458</v>
      </c>
    </row>
    <row r="114" spans="1:8" ht="15">
      <c r="A114" s="4">
        <f>""</f>
      </c>
      <c r="B114" s="4" t="str">
        <f>"月小計"</f>
        <v>月小計</v>
      </c>
      <c r="C114" s="4">
        <f>""</f>
      </c>
      <c r="D114" s="4">
        <f>""</f>
      </c>
      <c r="E114" s="4" t="str">
        <f>"貸"</f>
        <v>貸</v>
      </c>
      <c r="F114" s="12"/>
      <c r="G114" s="12">
        <f>20000</f>
        <v>20000</v>
      </c>
      <c r="H114" s="12">
        <f>22458</f>
        <v>22458</v>
      </c>
    </row>
    <row r="115" spans="1:9" ht="15.75">
      <c r="A115" s="4">
        <f>""</f>
      </c>
      <c r="B115" s="4" t="str">
        <f>"合    計"</f>
        <v>合    計</v>
      </c>
      <c r="C115" s="4">
        <f>""</f>
      </c>
      <c r="D115" s="4">
        <f>""</f>
      </c>
      <c r="E115" s="4" t="str">
        <f>"貸"</f>
        <v>貸</v>
      </c>
      <c r="F115" s="12"/>
      <c r="G115" s="12">
        <f>22458</f>
        <v>22458</v>
      </c>
      <c r="H115" s="12">
        <f>22458</f>
        <v>22458</v>
      </c>
      <c r="I115" s="16" t="s">
        <v>39</v>
      </c>
    </row>
    <row r="116" spans="1:8" ht="15">
      <c r="A116" s="4">
        <f>""</f>
      </c>
      <c r="B116" s="4" t="str">
        <f>"承上期"</f>
        <v>承上期</v>
      </c>
      <c r="C116" s="4">
        <f>""</f>
      </c>
      <c r="D116" s="4">
        <f>""</f>
      </c>
      <c r="E116" s="4">
        <f>""</f>
      </c>
      <c r="F116" s="12"/>
      <c r="G116" s="12"/>
      <c r="H116" s="12"/>
    </row>
    <row r="117" spans="1:8" ht="15">
      <c r="A117" s="4" t="str">
        <f>"98-01-17"</f>
        <v>98-01-17</v>
      </c>
      <c r="B117" s="4" t="str">
        <f>"VH81170001"</f>
        <v>VH81170001</v>
      </c>
      <c r="C117" s="4" t="str">
        <f>"簡憶婷1月薪"</f>
        <v>簡憶婷1月薪</v>
      </c>
      <c r="D117" s="4" t="str">
        <f>"本會"</f>
        <v>本會</v>
      </c>
      <c r="E117" s="4" t="str">
        <f aca="true" t="shared" si="7" ref="E117:E144">"借"</f>
        <v>借</v>
      </c>
      <c r="F117" s="12">
        <f>31300</f>
        <v>31300</v>
      </c>
      <c r="G117" s="12"/>
      <c r="H117" s="12">
        <f>31300</f>
        <v>31300</v>
      </c>
    </row>
    <row r="118" spans="1:8" ht="15">
      <c r="A118" s="4">
        <f>""</f>
      </c>
      <c r="B118" s="4" t="str">
        <f>"月小計"</f>
        <v>月小計</v>
      </c>
      <c r="C118" s="4">
        <f>""</f>
      </c>
      <c r="D118" s="4">
        <f>""</f>
      </c>
      <c r="E118" s="4" t="str">
        <f t="shared" si="7"/>
        <v>借</v>
      </c>
      <c r="F118" s="12">
        <f>31300</f>
        <v>31300</v>
      </c>
      <c r="G118" s="12"/>
      <c r="H118" s="12">
        <f>31300</f>
        <v>31300</v>
      </c>
    </row>
    <row r="119" spans="1:8" ht="15">
      <c r="A119" s="4" t="str">
        <f>"98-02-05"</f>
        <v>98-02-05</v>
      </c>
      <c r="B119" s="4" t="str">
        <f>"VH82050001"</f>
        <v>VH82050001</v>
      </c>
      <c r="C119" s="4" t="str">
        <f>"劉嘉帆1月薪津"</f>
        <v>劉嘉帆1月薪津</v>
      </c>
      <c r="D119" s="4" t="str">
        <f>"本會"</f>
        <v>本會</v>
      </c>
      <c r="E119" s="4" t="str">
        <f t="shared" si="7"/>
        <v>借</v>
      </c>
      <c r="F119" s="12">
        <f>1282</f>
        <v>1282</v>
      </c>
      <c r="G119" s="12"/>
      <c r="H119" s="12">
        <f>32582</f>
        <v>32582</v>
      </c>
    </row>
    <row r="120" spans="1:8" ht="15">
      <c r="A120" s="4" t="str">
        <f>"98-02-10"</f>
        <v>98-02-10</v>
      </c>
      <c r="B120" s="4" t="str">
        <f>"VH82100002"</f>
        <v>VH82100002</v>
      </c>
      <c r="C120" s="4" t="str">
        <f>"簡憶婷2月薪"</f>
        <v>簡憶婷2月薪</v>
      </c>
      <c r="D120" s="4" t="str">
        <f>"本會"</f>
        <v>本會</v>
      </c>
      <c r="E120" s="4" t="str">
        <f t="shared" si="7"/>
        <v>借</v>
      </c>
      <c r="F120" s="12">
        <f>31300</f>
        <v>31300</v>
      </c>
      <c r="G120" s="12"/>
      <c r="H120" s="12">
        <f>63882</f>
        <v>63882</v>
      </c>
    </row>
    <row r="121" spans="1:8" ht="15">
      <c r="A121" s="4">
        <f>""</f>
      </c>
      <c r="B121" s="4" t="str">
        <f>"月小計"</f>
        <v>月小計</v>
      </c>
      <c r="C121" s="4">
        <f>""</f>
      </c>
      <c r="D121" s="4">
        <f>""</f>
      </c>
      <c r="E121" s="4" t="str">
        <f t="shared" si="7"/>
        <v>借</v>
      </c>
      <c r="F121" s="12">
        <f>32582</f>
        <v>32582</v>
      </c>
      <c r="G121" s="12"/>
      <c r="H121" s="12">
        <f>63882</f>
        <v>63882</v>
      </c>
    </row>
    <row r="122" spans="1:8" ht="15">
      <c r="A122" s="4" t="str">
        <f>"98-03-04"</f>
        <v>98-03-04</v>
      </c>
      <c r="B122" s="4" t="str">
        <f>"VH83040003"</f>
        <v>VH83040003</v>
      </c>
      <c r="C122" s="4" t="str">
        <f>"簡憶婷3月薪"</f>
        <v>簡憶婷3月薪</v>
      </c>
      <c r="D122" s="4" t="str">
        <f>"本會"</f>
        <v>本會</v>
      </c>
      <c r="E122" s="4" t="str">
        <f t="shared" si="7"/>
        <v>借</v>
      </c>
      <c r="F122" s="12">
        <f>31300</f>
        <v>31300</v>
      </c>
      <c r="G122" s="12"/>
      <c r="H122" s="12">
        <f>95182</f>
        <v>95182</v>
      </c>
    </row>
    <row r="123" spans="1:8" ht="15">
      <c r="A123" s="4" t="str">
        <f>"98-03-12"</f>
        <v>98-03-12</v>
      </c>
      <c r="B123" s="4" t="str">
        <f>"VH83120002"</f>
        <v>VH83120002</v>
      </c>
      <c r="C123" s="4" t="str">
        <f>"2月劉嘉帆薪"</f>
        <v>2月劉嘉帆薪</v>
      </c>
      <c r="D123" s="4" t="str">
        <f>"本會"</f>
        <v>本會</v>
      </c>
      <c r="E123" s="4" t="str">
        <f t="shared" si="7"/>
        <v>借</v>
      </c>
      <c r="F123" s="12">
        <f>1282</f>
        <v>1282</v>
      </c>
      <c r="G123" s="12"/>
      <c r="H123" s="12">
        <f>96464</f>
        <v>96464</v>
      </c>
    </row>
    <row r="124" spans="1:8" ht="15">
      <c r="A124" s="4">
        <f>""</f>
      </c>
      <c r="B124" s="4" t="str">
        <f>"月小計"</f>
        <v>月小計</v>
      </c>
      <c r="C124" s="4">
        <f>""</f>
      </c>
      <c r="D124" s="4">
        <f>""</f>
      </c>
      <c r="E124" s="4" t="str">
        <f t="shared" si="7"/>
        <v>借</v>
      </c>
      <c r="F124" s="12">
        <f>32582</f>
        <v>32582</v>
      </c>
      <c r="G124" s="12"/>
      <c r="H124" s="12">
        <f>96464</f>
        <v>96464</v>
      </c>
    </row>
    <row r="125" spans="1:8" ht="15">
      <c r="A125" s="4" t="str">
        <f>"98-04-09"</f>
        <v>98-04-09</v>
      </c>
      <c r="B125" s="4" t="str">
        <f>"VH84090001"</f>
        <v>VH84090001</v>
      </c>
      <c r="C125" s="4" t="str">
        <f>"簡憶婷4月薪"</f>
        <v>簡憶婷4月薪</v>
      </c>
      <c r="D125" s="4" t="str">
        <f>"本會"</f>
        <v>本會</v>
      </c>
      <c r="E125" s="4" t="str">
        <f t="shared" si="7"/>
        <v>借</v>
      </c>
      <c r="F125" s="12">
        <f>31300</f>
        <v>31300</v>
      </c>
      <c r="G125" s="12"/>
      <c r="H125" s="12">
        <f>127764</f>
        <v>127764</v>
      </c>
    </row>
    <row r="126" spans="1:8" ht="15">
      <c r="A126" s="4" t="str">
        <f>"98-04-16"</f>
        <v>98-04-16</v>
      </c>
      <c r="B126" s="4" t="str">
        <f>"VH84160002"</f>
        <v>VH84160002</v>
      </c>
      <c r="C126" s="4" t="str">
        <f>"3月劉嘉帆薪"</f>
        <v>3月劉嘉帆薪</v>
      </c>
      <c r="D126" s="4" t="str">
        <f>"本會"</f>
        <v>本會</v>
      </c>
      <c r="E126" s="4" t="str">
        <f t="shared" si="7"/>
        <v>借</v>
      </c>
      <c r="F126" s="12">
        <f>1282</f>
        <v>1282</v>
      </c>
      <c r="G126" s="12"/>
      <c r="H126" s="12">
        <f>129046</f>
        <v>129046</v>
      </c>
    </row>
    <row r="127" spans="1:8" ht="15">
      <c r="A127" s="4">
        <f>""</f>
      </c>
      <c r="B127" s="4" t="str">
        <f>"月小計"</f>
        <v>月小計</v>
      </c>
      <c r="C127" s="4">
        <f>""</f>
      </c>
      <c r="D127" s="4">
        <f>""</f>
      </c>
      <c r="E127" s="4" t="str">
        <f t="shared" si="7"/>
        <v>借</v>
      </c>
      <c r="F127" s="12">
        <f>32582</f>
        <v>32582</v>
      </c>
      <c r="G127" s="12"/>
      <c r="H127" s="12">
        <f>129046</f>
        <v>129046</v>
      </c>
    </row>
    <row r="128" spans="1:8" ht="15">
      <c r="A128" s="4" t="str">
        <f>"98-05-11"</f>
        <v>98-05-11</v>
      </c>
      <c r="B128" s="4" t="str">
        <f>"VH85110003"</f>
        <v>VH85110003</v>
      </c>
      <c r="C128" s="4" t="str">
        <f>"簡憶婷5月薪"</f>
        <v>簡憶婷5月薪</v>
      </c>
      <c r="D128" s="4" t="str">
        <f>"本會"</f>
        <v>本會</v>
      </c>
      <c r="E128" s="4" t="str">
        <f t="shared" si="7"/>
        <v>借</v>
      </c>
      <c r="F128" s="12">
        <f>31300</f>
        <v>31300</v>
      </c>
      <c r="G128" s="12"/>
      <c r="H128" s="12">
        <f>160346</f>
        <v>160346</v>
      </c>
    </row>
    <row r="129" spans="1:8" ht="15">
      <c r="A129" s="4">
        <f>""</f>
      </c>
      <c r="B129" s="4" t="str">
        <f>"月小計"</f>
        <v>月小計</v>
      </c>
      <c r="C129" s="4">
        <f>""</f>
      </c>
      <c r="D129" s="4">
        <f>""</f>
      </c>
      <c r="E129" s="4" t="str">
        <f t="shared" si="7"/>
        <v>借</v>
      </c>
      <c r="F129" s="12">
        <f>31300</f>
        <v>31300</v>
      </c>
      <c r="G129" s="12"/>
      <c r="H129" s="12">
        <f>160346</f>
        <v>160346</v>
      </c>
    </row>
    <row r="130" spans="1:8" ht="15">
      <c r="A130" s="4" t="str">
        <f>"98-06-09"</f>
        <v>98-06-09</v>
      </c>
      <c r="B130" s="4" t="str">
        <f>"VH86090002"</f>
        <v>VH86090002</v>
      </c>
      <c r="C130" s="4" t="str">
        <f>"簡憶婷6月薪"</f>
        <v>簡憶婷6月薪</v>
      </c>
      <c r="D130" s="4" t="str">
        <f>"本會"</f>
        <v>本會</v>
      </c>
      <c r="E130" s="4" t="str">
        <f t="shared" si="7"/>
        <v>借</v>
      </c>
      <c r="F130" s="12">
        <f>31300</f>
        <v>31300</v>
      </c>
      <c r="G130" s="12"/>
      <c r="H130" s="12">
        <f>191646</f>
        <v>191646</v>
      </c>
    </row>
    <row r="131" spans="1:8" ht="15">
      <c r="A131" s="4">
        <f>""</f>
      </c>
      <c r="B131" s="4" t="str">
        <f>"月小計"</f>
        <v>月小計</v>
      </c>
      <c r="C131" s="4">
        <f>""</f>
      </c>
      <c r="D131" s="4">
        <f>""</f>
      </c>
      <c r="E131" s="4" t="str">
        <f t="shared" si="7"/>
        <v>借</v>
      </c>
      <c r="F131" s="12">
        <f>31300</f>
        <v>31300</v>
      </c>
      <c r="G131" s="12"/>
      <c r="H131" s="12">
        <f>191646</f>
        <v>191646</v>
      </c>
    </row>
    <row r="132" spans="1:8" ht="15">
      <c r="A132" s="4" t="str">
        <f>"98-07-23"</f>
        <v>98-07-23</v>
      </c>
      <c r="B132" s="4" t="str">
        <f>"VH87230001"</f>
        <v>VH87230001</v>
      </c>
      <c r="C132" s="4" t="str">
        <f>"簡憶婷7月薪"</f>
        <v>簡憶婷7月薪</v>
      </c>
      <c r="D132" s="4" t="str">
        <f>"本會"</f>
        <v>本會</v>
      </c>
      <c r="E132" s="4" t="str">
        <f t="shared" si="7"/>
        <v>借</v>
      </c>
      <c r="F132" s="12">
        <f>31300</f>
        <v>31300</v>
      </c>
      <c r="G132" s="12"/>
      <c r="H132" s="12">
        <f>222946</f>
        <v>222946</v>
      </c>
    </row>
    <row r="133" spans="1:8" ht="15">
      <c r="A133" s="4">
        <f>""</f>
      </c>
      <c r="B133" s="4" t="str">
        <f>"月小計"</f>
        <v>月小計</v>
      </c>
      <c r="C133" s="4">
        <f>""</f>
      </c>
      <c r="D133" s="4">
        <f>""</f>
      </c>
      <c r="E133" s="4" t="str">
        <f t="shared" si="7"/>
        <v>借</v>
      </c>
      <c r="F133" s="12">
        <f>31300</f>
        <v>31300</v>
      </c>
      <c r="G133" s="12"/>
      <c r="H133" s="12">
        <f>222946</f>
        <v>222946</v>
      </c>
    </row>
    <row r="134" spans="1:8" ht="15">
      <c r="A134" s="4" t="str">
        <f>"98-08-12"</f>
        <v>98-08-12</v>
      </c>
      <c r="B134" s="4" t="str">
        <f>"VH88120001"</f>
        <v>VH88120001</v>
      </c>
      <c r="C134" s="4" t="str">
        <f>"簡憶婷8月薪"</f>
        <v>簡憶婷8月薪</v>
      </c>
      <c r="D134" s="4" t="str">
        <f>"本會"</f>
        <v>本會</v>
      </c>
      <c r="E134" s="4" t="str">
        <f t="shared" si="7"/>
        <v>借</v>
      </c>
      <c r="F134" s="12">
        <f>32100</f>
        <v>32100</v>
      </c>
      <c r="G134" s="12"/>
      <c r="H134" s="12">
        <f>255046</f>
        <v>255046</v>
      </c>
    </row>
    <row r="135" spans="1:8" ht="15">
      <c r="A135" s="4">
        <f>""</f>
      </c>
      <c r="B135" s="4" t="str">
        <f>"月小計"</f>
        <v>月小計</v>
      </c>
      <c r="C135" s="4">
        <f>""</f>
      </c>
      <c r="D135" s="4">
        <f>""</f>
      </c>
      <c r="E135" s="4" t="str">
        <f t="shared" si="7"/>
        <v>借</v>
      </c>
      <c r="F135" s="12">
        <f>32100</f>
        <v>32100</v>
      </c>
      <c r="G135" s="12"/>
      <c r="H135" s="12">
        <f>255046</f>
        <v>255046</v>
      </c>
    </row>
    <row r="136" spans="1:8" ht="15">
      <c r="A136" s="4" t="str">
        <f>"98-09-15"</f>
        <v>98-09-15</v>
      </c>
      <c r="B136" s="4" t="str">
        <f>"VH89150001"</f>
        <v>VH89150001</v>
      </c>
      <c r="C136" s="4" t="str">
        <f>"簡憶婷9月薪"</f>
        <v>簡憶婷9月薪</v>
      </c>
      <c r="D136" s="4" t="str">
        <f>"本會"</f>
        <v>本會</v>
      </c>
      <c r="E136" s="4" t="str">
        <f t="shared" si="7"/>
        <v>借</v>
      </c>
      <c r="F136" s="12">
        <f>32100</f>
        <v>32100</v>
      </c>
      <c r="G136" s="12"/>
      <c r="H136" s="12">
        <f>287146</f>
        <v>287146</v>
      </c>
    </row>
    <row r="137" spans="1:8" ht="15">
      <c r="A137" s="4">
        <f>""</f>
      </c>
      <c r="B137" s="4" t="str">
        <f>"月小計"</f>
        <v>月小計</v>
      </c>
      <c r="C137" s="4">
        <f>""</f>
      </c>
      <c r="D137" s="4">
        <f>""</f>
      </c>
      <c r="E137" s="4" t="str">
        <f t="shared" si="7"/>
        <v>借</v>
      </c>
      <c r="F137" s="12">
        <f>32100</f>
        <v>32100</v>
      </c>
      <c r="G137" s="12"/>
      <c r="H137" s="12">
        <f>287146</f>
        <v>287146</v>
      </c>
    </row>
    <row r="138" spans="1:8" ht="15">
      <c r="A138" s="4" t="str">
        <f>"98-10-09"</f>
        <v>98-10-09</v>
      </c>
      <c r="B138" s="4" t="str">
        <f>"VH8A090002"</f>
        <v>VH8A090002</v>
      </c>
      <c r="C138" s="4" t="str">
        <f>"簡憶婷10月薪"</f>
        <v>簡憶婷10月薪</v>
      </c>
      <c r="D138" s="4" t="str">
        <f>"本會"</f>
        <v>本會</v>
      </c>
      <c r="E138" s="4" t="str">
        <f t="shared" si="7"/>
        <v>借</v>
      </c>
      <c r="F138" s="12">
        <f>32100</f>
        <v>32100</v>
      </c>
      <c r="G138" s="12"/>
      <c r="H138" s="12">
        <f>319246</f>
        <v>319246</v>
      </c>
    </row>
    <row r="139" spans="1:8" ht="15">
      <c r="A139" s="4">
        <f>""</f>
      </c>
      <c r="B139" s="4" t="str">
        <f>"月小計"</f>
        <v>月小計</v>
      </c>
      <c r="C139" s="4">
        <f>""</f>
      </c>
      <c r="D139" s="4">
        <f>""</f>
      </c>
      <c r="E139" s="4" t="str">
        <f t="shared" si="7"/>
        <v>借</v>
      </c>
      <c r="F139" s="12">
        <f>32100</f>
        <v>32100</v>
      </c>
      <c r="G139" s="12"/>
      <c r="H139" s="12">
        <f>319246</f>
        <v>319246</v>
      </c>
    </row>
    <row r="140" spans="1:8" ht="15">
      <c r="A140" s="4" t="str">
        <f>"98-11-06"</f>
        <v>98-11-06</v>
      </c>
      <c r="B140" s="4" t="str">
        <f>"VH8B060001"</f>
        <v>VH8B060001</v>
      </c>
      <c r="C140" s="4" t="str">
        <f>"11月簡憶婷薪津"</f>
        <v>11月簡憶婷薪津</v>
      </c>
      <c r="D140" s="4" t="str">
        <f>"本會"</f>
        <v>本會</v>
      </c>
      <c r="E140" s="4" t="str">
        <f t="shared" si="7"/>
        <v>借</v>
      </c>
      <c r="F140" s="12">
        <f>32100</f>
        <v>32100</v>
      </c>
      <c r="G140" s="12"/>
      <c r="H140" s="12">
        <f>351346</f>
        <v>351346</v>
      </c>
    </row>
    <row r="141" spans="1:8" ht="15">
      <c r="A141" s="4">
        <f>""</f>
      </c>
      <c r="B141" s="4" t="str">
        <f>"月小計"</f>
        <v>月小計</v>
      </c>
      <c r="C141" s="4">
        <f>""</f>
      </c>
      <c r="D141" s="4">
        <f>""</f>
      </c>
      <c r="E141" s="4" t="str">
        <f t="shared" si="7"/>
        <v>借</v>
      </c>
      <c r="F141" s="12">
        <f>32100</f>
        <v>32100</v>
      </c>
      <c r="G141" s="12"/>
      <c r="H141" s="12">
        <f>351346</f>
        <v>351346</v>
      </c>
    </row>
    <row r="142" spans="1:8" ht="15">
      <c r="A142" s="4" t="str">
        <f>"98-12-07"</f>
        <v>98-12-07</v>
      </c>
      <c r="B142" s="4" t="str">
        <f>"VH8C070001"</f>
        <v>VH8C070001</v>
      </c>
      <c r="C142" s="4" t="str">
        <f>"12月簡憶婷薪津"</f>
        <v>12月簡憶婷薪津</v>
      </c>
      <c r="D142" s="4" t="str">
        <f>"本會"</f>
        <v>本會</v>
      </c>
      <c r="E142" s="4" t="str">
        <f t="shared" si="7"/>
        <v>借</v>
      </c>
      <c r="F142" s="12">
        <f>32100</f>
        <v>32100</v>
      </c>
      <c r="G142" s="12"/>
      <c r="H142" s="12">
        <f>383446</f>
        <v>383446</v>
      </c>
    </row>
    <row r="143" spans="1:8" ht="15">
      <c r="A143" s="4">
        <f>""</f>
      </c>
      <c r="B143" s="4" t="str">
        <f>"月小計"</f>
        <v>月小計</v>
      </c>
      <c r="C143" s="4">
        <f>""</f>
      </c>
      <c r="D143" s="4">
        <f>""</f>
      </c>
      <c r="E143" s="4" t="str">
        <f t="shared" si="7"/>
        <v>借</v>
      </c>
      <c r="F143" s="12">
        <f>32100</f>
        <v>32100</v>
      </c>
      <c r="G143" s="12"/>
      <c r="H143" s="12">
        <f>383446</f>
        <v>383446</v>
      </c>
    </row>
    <row r="144" spans="1:9" ht="15.75">
      <c r="A144" s="4">
        <f>""</f>
      </c>
      <c r="B144" s="4" t="str">
        <f>"合    計"</f>
        <v>合    計</v>
      </c>
      <c r="C144" s="4">
        <f>""</f>
      </c>
      <c r="D144" s="4">
        <f>""</f>
      </c>
      <c r="E144" s="4" t="str">
        <f t="shared" si="7"/>
        <v>借</v>
      </c>
      <c r="F144" s="12">
        <f>383446</f>
        <v>383446</v>
      </c>
      <c r="G144" s="12"/>
      <c r="H144" s="12">
        <f>383446</f>
        <v>383446</v>
      </c>
      <c r="I144" s="16" t="s">
        <v>19</v>
      </c>
    </row>
    <row r="145" spans="1:8" ht="15">
      <c r="A145" s="4">
        <f>""</f>
      </c>
      <c r="B145" s="4" t="str">
        <f>"承上期"</f>
        <v>承上期</v>
      </c>
      <c r="C145" s="4">
        <f>""</f>
      </c>
      <c r="D145" s="4">
        <f>""</f>
      </c>
      <c r="E145" s="4">
        <f>""</f>
      </c>
      <c r="F145" s="12"/>
      <c r="G145" s="12"/>
      <c r="H145" s="12"/>
    </row>
    <row r="146" spans="1:8" ht="15">
      <c r="A146" s="4" t="str">
        <f>"98-01-17"</f>
        <v>98-01-17</v>
      </c>
      <c r="B146" s="4" t="str">
        <f>"VH81170001"</f>
        <v>VH81170001</v>
      </c>
      <c r="C146" s="4" t="str">
        <f>"簡憶婷年終獎金"</f>
        <v>簡憶婷年終獎金</v>
      </c>
      <c r="D146" s="4" t="str">
        <f>"本會"</f>
        <v>本會</v>
      </c>
      <c r="E146" s="4" t="str">
        <f>"借"</f>
        <v>借</v>
      </c>
      <c r="F146" s="12">
        <f>46950</f>
        <v>46950</v>
      </c>
      <c r="G146" s="12"/>
      <c r="H146" s="12">
        <f>46950</f>
        <v>46950</v>
      </c>
    </row>
    <row r="147" spans="1:8" ht="15">
      <c r="A147" s="4">
        <f>""</f>
      </c>
      <c r="B147" s="4" t="str">
        <f>"月小計"</f>
        <v>月小計</v>
      </c>
      <c r="C147" s="4">
        <f>""</f>
      </c>
      <c r="D147" s="4">
        <f>""</f>
      </c>
      <c r="E147" s="4" t="str">
        <f>"借"</f>
        <v>借</v>
      </c>
      <c r="F147" s="12">
        <f>46950</f>
        <v>46950</v>
      </c>
      <c r="G147" s="12"/>
      <c r="H147" s="12">
        <f>46950</f>
        <v>46950</v>
      </c>
    </row>
    <row r="148" spans="1:9" ht="15.75">
      <c r="A148" s="4">
        <f>""</f>
      </c>
      <c r="B148" s="4" t="str">
        <f>"合    計"</f>
        <v>合    計</v>
      </c>
      <c r="C148" s="4">
        <f>""</f>
      </c>
      <c r="D148" s="4">
        <f>""</f>
      </c>
      <c r="E148" s="4" t="str">
        <f>"借"</f>
        <v>借</v>
      </c>
      <c r="F148" s="12">
        <f>46950</f>
        <v>46950</v>
      </c>
      <c r="G148" s="12"/>
      <c r="H148" s="12">
        <f>46950</f>
        <v>46950</v>
      </c>
      <c r="I148" s="16" t="s">
        <v>20</v>
      </c>
    </row>
    <row r="149" spans="1:8" ht="15">
      <c r="A149" s="4">
        <f>""</f>
      </c>
      <c r="B149" s="4" t="str">
        <f>"承上期"</f>
        <v>承上期</v>
      </c>
      <c r="C149" s="4">
        <f>""</f>
      </c>
      <c r="D149" s="4">
        <f>""</f>
      </c>
      <c r="E149" s="4">
        <f>""</f>
      </c>
      <c r="F149" s="12"/>
      <c r="G149" s="12"/>
      <c r="H149" s="12"/>
    </row>
    <row r="150" spans="1:8" ht="15">
      <c r="A150" s="4" t="str">
        <f>"98-02-03"</f>
        <v>98-02-03</v>
      </c>
      <c r="B150" s="4" t="str">
        <f>"VH82030003"</f>
        <v>VH82030003</v>
      </c>
      <c r="C150" s="4" t="str">
        <f>"12月健保費"</f>
        <v>12月健保費</v>
      </c>
      <c r="D150" s="4" t="str">
        <f>"本會"</f>
        <v>本會</v>
      </c>
      <c r="E150" s="4" t="str">
        <f aca="true" t="shared" si="8" ref="E150:E178">"借"</f>
        <v>借</v>
      </c>
      <c r="F150" s="12">
        <f>2952</f>
        <v>2952</v>
      </c>
      <c r="G150" s="12"/>
      <c r="H150" s="12">
        <f>2952</f>
        <v>2952</v>
      </c>
    </row>
    <row r="151" spans="1:8" ht="15">
      <c r="A151" s="4" t="str">
        <f>"98-02-03"</f>
        <v>98-02-03</v>
      </c>
      <c r="B151" s="4" t="str">
        <f>"VH82030003"</f>
        <v>VH82030003</v>
      </c>
      <c r="C151" s="4" t="str">
        <f>"12月勞保費"</f>
        <v>12月勞保費</v>
      </c>
      <c r="D151" s="4" t="str">
        <f>"本會"</f>
        <v>本會</v>
      </c>
      <c r="E151" s="4" t="str">
        <f t="shared" si="8"/>
        <v>借</v>
      </c>
      <c r="F151" s="12">
        <f>2948</f>
        <v>2948</v>
      </c>
      <c r="G151" s="12"/>
      <c r="H151" s="12">
        <f>5900</f>
        <v>5900</v>
      </c>
    </row>
    <row r="152" spans="1:8" ht="15">
      <c r="A152" s="4">
        <f>""</f>
      </c>
      <c r="B152" s="4" t="str">
        <f>"月小計"</f>
        <v>月小計</v>
      </c>
      <c r="C152" s="4">
        <f>""</f>
      </c>
      <c r="D152" s="4">
        <f>""</f>
      </c>
      <c r="E152" s="4" t="str">
        <f t="shared" si="8"/>
        <v>借</v>
      </c>
      <c r="F152" s="12">
        <f>5900</f>
        <v>5900</v>
      </c>
      <c r="G152" s="12"/>
      <c r="H152" s="12">
        <f>5900</f>
        <v>5900</v>
      </c>
    </row>
    <row r="153" spans="1:8" ht="15">
      <c r="A153" s="4" t="str">
        <f>"98-03-04"</f>
        <v>98-03-04</v>
      </c>
      <c r="B153" s="4" t="str">
        <f>"VH83040002"</f>
        <v>VH83040002</v>
      </c>
      <c r="C153" s="4" t="str">
        <f>"1月健保費"</f>
        <v>1月健保費</v>
      </c>
      <c r="D153" s="4" t="str">
        <f>"本會"</f>
        <v>本會</v>
      </c>
      <c r="E153" s="4" t="str">
        <f t="shared" si="8"/>
        <v>借</v>
      </c>
      <c r="F153" s="12">
        <f>2952</f>
        <v>2952</v>
      </c>
      <c r="G153" s="12"/>
      <c r="H153" s="12">
        <f>8852</f>
        <v>8852</v>
      </c>
    </row>
    <row r="154" spans="1:8" ht="15">
      <c r="A154" s="4" t="str">
        <f>"98-03-04"</f>
        <v>98-03-04</v>
      </c>
      <c r="B154" s="4" t="str">
        <f>"VH83040002"</f>
        <v>VH83040002</v>
      </c>
      <c r="C154" s="4" t="str">
        <f>"1月勞保費"</f>
        <v>1月勞保費</v>
      </c>
      <c r="D154" s="4" t="str">
        <f>"本會"</f>
        <v>本會</v>
      </c>
      <c r="E154" s="4" t="str">
        <f t="shared" si="8"/>
        <v>借</v>
      </c>
      <c r="F154" s="12">
        <f>3520</f>
        <v>3520</v>
      </c>
      <c r="G154" s="12"/>
      <c r="H154" s="12">
        <f>12372</f>
        <v>12372</v>
      </c>
    </row>
    <row r="155" spans="1:8" ht="15">
      <c r="A155" s="4" t="str">
        <f>"98-03-24"</f>
        <v>98-03-24</v>
      </c>
      <c r="B155" s="4" t="str">
        <f>"VH83240002"</f>
        <v>VH83240002</v>
      </c>
      <c r="C155" s="4" t="str">
        <f>"2月健保"</f>
        <v>2月健保</v>
      </c>
      <c r="D155" s="4" t="str">
        <f>"本會"</f>
        <v>本會</v>
      </c>
      <c r="E155" s="4" t="str">
        <f t="shared" si="8"/>
        <v>借</v>
      </c>
      <c r="F155" s="12">
        <f>2952</f>
        <v>2952</v>
      </c>
      <c r="G155" s="12"/>
      <c r="H155" s="12">
        <f>15324</f>
        <v>15324</v>
      </c>
    </row>
    <row r="156" spans="1:8" ht="15">
      <c r="A156" s="4" t="str">
        <f>"98-03-24"</f>
        <v>98-03-24</v>
      </c>
      <c r="B156" s="4" t="str">
        <f>"VH83240002"</f>
        <v>VH83240002</v>
      </c>
      <c r="C156" s="4" t="str">
        <f>"2月勞保"</f>
        <v>2月勞保</v>
      </c>
      <c r="D156" s="4" t="str">
        <f>"本會"</f>
        <v>本會</v>
      </c>
      <c r="E156" s="4" t="str">
        <f t="shared" si="8"/>
        <v>借</v>
      </c>
      <c r="F156" s="12">
        <f>3520</f>
        <v>3520</v>
      </c>
      <c r="G156" s="12"/>
      <c r="H156" s="12">
        <f>18844</f>
        <v>18844</v>
      </c>
    </row>
    <row r="157" spans="1:8" ht="15">
      <c r="A157" s="4">
        <f>""</f>
      </c>
      <c r="B157" s="4" t="str">
        <f>"月小計"</f>
        <v>月小計</v>
      </c>
      <c r="C157" s="4">
        <f>""</f>
      </c>
      <c r="D157" s="4">
        <f>""</f>
      </c>
      <c r="E157" s="4" t="str">
        <f t="shared" si="8"/>
        <v>借</v>
      </c>
      <c r="F157" s="12">
        <f>12944</f>
        <v>12944</v>
      </c>
      <c r="G157" s="12"/>
      <c r="H157" s="12">
        <f>18844</f>
        <v>18844</v>
      </c>
    </row>
    <row r="158" spans="1:8" ht="15">
      <c r="A158" s="4" t="str">
        <f>"98-04-28"</f>
        <v>98-04-28</v>
      </c>
      <c r="B158" s="4" t="str">
        <f>"VH84280002"</f>
        <v>VH84280002</v>
      </c>
      <c r="C158" s="4" t="str">
        <f>"3月健保"</f>
        <v>3月健保</v>
      </c>
      <c r="D158" s="4" t="str">
        <f>"本會"</f>
        <v>本會</v>
      </c>
      <c r="E158" s="4" t="str">
        <f t="shared" si="8"/>
        <v>借</v>
      </c>
      <c r="F158" s="12">
        <f>2952</f>
        <v>2952</v>
      </c>
      <c r="G158" s="12"/>
      <c r="H158" s="12">
        <f>21796</f>
        <v>21796</v>
      </c>
    </row>
    <row r="159" spans="1:8" ht="15">
      <c r="A159" s="4" t="str">
        <f>"98-04-28"</f>
        <v>98-04-28</v>
      </c>
      <c r="B159" s="4" t="str">
        <f>"VH84280002"</f>
        <v>VH84280002</v>
      </c>
      <c r="C159" s="4" t="str">
        <f>"3月勞保"</f>
        <v>3月勞保</v>
      </c>
      <c r="D159" s="4" t="str">
        <f>"本會"</f>
        <v>本會</v>
      </c>
      <c r="E159" s="4" t="str">
        <f t="shared" si="8"/>
        <v>借</v>
      </c>
      <c r="F159" s="12">
        <f>3520</f>
        <v>3520</v>
      </c>
      <c r="G159" s="12"/>
      <c r="H159" s="12">
        <f>25316</f>
        <v>25316</v>
      </c>
    </row>
    <row r="160" spans="1:8" ht="15">
      <c r="A160" s="4">
        <f>""</f>
      </c>
      <c r="B160" s="4" t="str">
        <f>"月小計"</f>
        <v>月小計</v>
      </c>
      <c r="C160" s="4">
        <f>""</f>
      </c>
      <c r="D160" s="4">
        <f>""</f>
      </c>
      <c r="E160" s="4" t="str">
        <f t="shared" si="8"/>
        <v>借</v>
      </c>
      <c r="F160" s="12">
        <f>6472</f>
        <v>6472</v>
      </c>
      <c r="G160" s="12"/>
      <c r="H160" s="12">
        <f>25316</f>
        <v>25316</v>
      </c>
    </row>
    <row r="161" spans="1:8" ht="15">
      <c r="A161" s="4" t="str">
        <f>"98-05-26"</f>
        <v>98-05-26</v>
      </c>
      <c r="B161" s="4" t="str">
        <f>"VH85260001"</f>
        <v>VH85260001</v>
      </c>
      <c r="C161" s="4" t="str">
        <f>"4月健保費"</f>
        <v>4月健保費</v>
      </c>
      <c r="D161" s="4" t="str">
        <f>"本會"</f>
        <v>本會</v>
      </c>
      <c r="E161" s="4" t="str">
        <f t="shared" si="8"/>
        <v>借</v>
      </c>
      <c r="F161" s="12">
        <f>1476</f>
        <v>1476</v>
      </c>
      <c r="G161" s="12"/>
      <c r="H161" s="12">
        <f>26792</f>
        <v>26792</v>
      </c>
    </row>
    <row r="162" spans="1:8" ht="15">
      <c r="A162" s="4" t="str">
        <f>"98-05-26"</f>
        <v>98-05-26</v>
      </c>
      <c r="B162" s="4" t="str">
        <f>"VH85260001"</f>
        <v>VH85260001</v>
      </c>
      <c r="C162" s="4" t="str">
        <f>"4月勞保費"</f>
        <v>4月勞保費</v>
      </c>
      <c r="D162" s="4" t="str">
        <f>"本會"</f>
        <v>本會</v>
      </c>
      <c r="E162" s="4" t="str">
        <f t="shared" si="8"/>
        <v>借</v>
      </c>
      <c r="F162" s="12">
        <f>1977</f>
        <v>1977</v>
      </c>
      <c r="G162" s="12"/>
      <c r="H162" s="12">
        <f>28769</f>
        <v>28769</v>
      </c>
    </row>
    <row r="163" spans="1:8" ht="15">
      <c r="A163" s="4">
        <f>""</f>
      </c>
      <c r="B163" s="4" t="str">
        <f>"月小計"</f>
        <v>月小計</v>
      </c>
      <c r="C163" s="4">
        <f>""</f>
      </c>
      <c r="D163" s="4">
        <f>""</f>
      </c>
      <c r="E163" s="4" t="str">
        <f t="shared" si="8"/>
        <v>借</v>
      </c>
      <c r="F163" s="12">
        <f>3453</f>
        <v>3453</v>
      </c>
      <c r="G163" s="12"/>
      <c r="H163" s="12">
        <f>28769</f>
        <v>28769</v>
      </c>
    </row>
    <row r="164" spans="1:8" ht="15">
      <c r="A164" s="4" t="str">
        <f>"98-06-26"</f>
        <v>98-06-26</v>
      </c>
      <c r="B164" s="4" t="str">
        <f>"VH86260002"</f>
        <v>VH86260002</v>
      </c>
      <c r="C164" s="4" t="str">
        <f>"5月健保費"</f>
        <v>5月健保費</v>
      </c>
      <c r="D164" s="4" t="str">
        <f>"本會"</f>
        <v>本會</v>
      </c>
      <c r="E164" s="4" t="str">
        <f t="shared" si="8"/>
        <v>借</v>
      </c>
      <c r="F164" s="12">
        <f>1476</f>
        <v>1476</v>
      </c>
      <c r="G164" s="12"/>
      <c r="H164" s="12">
        <f>30245</f>
        <v>30245</v>
      </c>
    </row>
    <row r="165" spans="1:8" ht="15">
      <c r="A165" s="4" t="str">
        <f>"98-06-26"</f>
        <v>98-06-26</v>
      </c>
      <c r="B165" s="4" t="str">
        <f>"VH86260002"</f>
        <v>VH86260002</v>
      </c>
      <c r="C165" s="4" t="str">
        <f>"5月勞保費"</f>
        <v>5月勞保費</v>
      </c>
      <c r="D165" s="4" t="str">
        <f>"本會"</f>
        <v>本會</v>
      </c>
      <c r="E165" s="4" t="str">
        <f t="shared" si="8"/>
        <v>借</v>
      </c>
      <c r="F165" s="12">
        <f>1760</f>
        <v>1760</v>
      </c>
      <c r="G165" s="12"/>
      <c r="H165" s="12">
        <f>32005</f>
        <v>32005</v>
      </c>
    </row>
    <row r="166" spans="1:8" ht="15">
      <c r="A166" s="4">
        <f>""</f>
      </c>
      <c r="B166" s="4" t="str">
        <f>"月小計"</f>
        <v>月小計</v>
      </c>
      <c r="C166" s="4">
        <f>""</f>
      </c>
      <c r="D166" s="4">
        <f>""</f>
      </c>
      <c r="E166" s="4" t="str">
        <f t="shared" si="8"/>
        <v>借</v>
      </c>
      <c r="F166" s="12">
        <f>3236</f>
        <v>3236</v>
      </c>
      <c r="G166" s="12"/>
      <c r="H166" s="12">
        <f>32005</f>
        <v>32005</v>
      </c>
    </row>
    <row r="167" spans="1:8" ht="15">
      <c r="A167" s="4" t="str">
        <f>"98-07-23"</f>
        <v>98-07-23</v>
      </c>
      <c r="B167" s="4" t="str">
        <f>"VH87230001"</f>
        <v>VH87230001</v>
      </c>
      <c r="C167" s="4" t="str">
        <f>"6月勞健保"</f>
        <v>6月勞健保</v>
      </c>
      <c r="D167" s="4" t="str">
        <f>"本會"</f>
        <v>本會</v>
      </c>
      <c r="E167" s="4" t="str">
        <f t="shared" si="8"/>
        <v>借</v>
      </c>
      <c r="F167" s="12">
        <f>3236</f>
        <v>3236</v>
      </c>
      <c r="G167" s="12"/>
      <c r="H167" s="12">
        <f>35241</f>
        <v>35241</v>
      </c>
    </row>
    <row r="168" spans="1:8" ht="15">
      <c r="A168" s="4">
        <f>""</f>
      </c>
      <c r="B168" s="4" t="str">
        <f>"月小計"</f>
        <v>月小計</v>
      </c>
      <c r="C168" s="4">
        <f>""</f>
      </c>
      <c r="D168" s="4">
        <f>""</f>
      </c>
      <c r="E168" s="4" t="str">
        <f t="shared" si="8"/>
        <v>借</v>
      </c>
      <c r="F168" s="12">
        <f>3236</f>
        <v>3236</v>
      </c>
      <c r="G168" s="12"/>
      <c r="H168" s="12">
        <f>35241</f>
        <v>35241</v>
      </c>
    </row>
    <row r="169" spans="1:8" ht="15">
      <c r="A169" s="4" t="str">
        <f>"98-09-01"</f>
        <v>98-09-01</v>
      </c>
      <c r="B169" s="4" t="str">
        <f>"VH89010001"</f>
        <v>VH89010001</v>
      </c>
      <c r="C169" s="4" t="str">
        <f>"7月勞健保"</f>
        <v>7月勞健保</v>
      </c>
      <c r="D169" s="4" t="str">
        <f>"本會"</f>
        <v>本會</v>
      </c>
      <c r="E169" s="4" t="str">
        <f t="shared" si="8"/>
        <v>借</v>
      </c>
      <c r="F169" s="12">
        <f>3236</f>
        <v>3236</v>
      </c>
      <c r="G169" s="12"/>
      <c r="H169" s="12">
        <f>38477</f>
        <v>38477</v>
      </c>
    </row>
    <row r="170" spans="1:8" ht="15">
      <c r="A170" s="4" t="str">
        <f>"98-09-28"</f>
        <v>98-09-28</v>
      </c>
      <c r="B170" s="4" t="str">
        <f>"VH89280001"</f>
        <v>VH89280001</v>
      </c>
      <c r="C170" s="4" t="str">
        <f>"8月勞健保"</f>
        <v>8月勞健保</v>
      </c>
      <c r="D170" s="4" t="str">
        <f>"本會"</f>
        <v>本會</v>
      </c>
      <c r="E170" s="4" t="str">
        <f t="shared" si="8"/>
        <v>借</v>
      </c>
      <c r="F170" s="12">
        <f>3236</f>
        <v>3236</v>
      </c>
      <c r="G170" s="12"/>
      <c r="H170" s="12">
        <f>41713</f>
        <v>41713</v>
      </c>
    </row>
    <row r="171" spans="1:8" ht="15">
      <c r="A171" s="4">
        <f>""</f>
      </c>
      <c r="B171" s="4" t="str">
        <f>"月小計"</f>
        <v>月小計</v>
      </c>
      <c r="C171" s="4">
        <f>""</f>
      </c>
      <c r="D171" s="4">
        <f>""</f>
      </c>
      <c r="E171" s="4" t="str">
        <f t="shared" si="8"/>
        <v>借</v>
      </c>
      <c r="F171" s="12">
        <f>6472</f>
        <v>6472</v>
      </c>
      <c r="G171" s="12"/>
      <c r="H171" s="12">
        <f>41713</f>
        <v>41713</v>
      </c>
    </row>
    <row r="172" spans="1:8" ht="15">
      <c r="A172" s="4" t="str">
        <f>"98-10-27"</f>
        <v>98-10-27</v>
      </c>
      <c r="B172" s="4" t="str">
        <f>"VH8A270001"</f>
        <v>VH8A270001</v>
      </c>
      <c r="C172" s="4" t="str">
        <f>"9月勞健保"</f>
        <v>9月勞健保</v>
      </c>
      <c r="D172" s="4" t="str">
        <f>"本會"</f>
        <v>本會</v>
      </c>
      <c r="E172" s="4" t="str">
        <f t="shared" si="8"/>
        <v>借</v>
      </c>
      <c r="F172" s="12">
        <f>3236</f>
        <v>3236</v>
      </c>
      <c r="G172" s="12"/>
      <c r="H172" s="12">
        <f>44949</f>
        <v>44949</v>
      </c>
    </row>
    <row r="173" spans="1:8" ht="15">
      <c r="A173" s="4">
        <f>""</f>
      </c>
      <c r="B173" s="4" t="str">
        <f>"月小計"</f>
        <v>月小計</v>
      </c>
      <c r="C173" s="4">
        <f>""</f>
      </c>
      <c r="D173" s="4">
        <f>""</f>
      </c>
      <c r="E173" s="4" t="str">
        <f t="shared" si="8"/>
        <v>借</v>
      </c>
      <c r="F173" s="12">
        <f>3236</f>
        <v>3236</v>
      </c>
      <c r="G173" s="12"/>
      <c r="H173" s="12">
        <f>44949</f>
        <v>44949</v>
      </c>
    </row>
    <row r="174" spans="1:8" ht="15">
      <c r="A174" s="4" t="str">
        <f>"98-11-25"</f>
        <v>98-11-25</v>
      </c>
      <c r="B174" s="4" t="str">
        <f>"VH8B250001"</f>
        <v>VH8B250001</v>
      </c>
      <c r="C174" s="4" t="str">
        <f>"10月勞健保"</f>
        <v>10月勞健保</v>
      </c>
      <c r="D174" s="4" t="str">
        <f>"本會"</f>
        <v>本會</v>
      </c>
      <c r="E174" s="4" t="str">
        <f t="shared" si="8"/>
        <v>借</v>
      </c>
      <c r="F174" s="12">
        <f>3236</f>
        <v>3236</v>
      </c>
      <c r="G174" s="12"/>
      <c r="H174" s="12">
        <f>48185</f>
        <v>48185</v>
      </c>
    </row>
    <row r="175" spans="1:8" ht="15">
      <c r="A175" s="4">
        <f>""</f>
      </c>
      <c r="B175" s="4" t="str">
        <f>"月小計"</f>
        <v>月小計</v>
      </c>
      <c r="C175" s="4">
        <f>""</f>
      </c>
      <c r="D175" s="4">
        <f>""</f>
      </c>
      <c r="E175" s="4" t="str">
        <f t="shared" si="8"/>
        <v>借</v>
      </c>
      <c r="F175" s="12">
        <f>3236</f>
        <v>3236</v>
      </c>
      <c r="G175" s="12"/>
      <c r="H175" s="12">
        <f>48185</f>
        <v>48185</v>
      </c>
    </row>
    <row r="176" spans="1:8" ht="15">
      <c r="A176" s="4" t="str">
        <f>"98-12-29"</f>
        <v>98-12-29</v>
      </c>
      <c r="B176" s="4" t="str">
        <f>"VH8C290001"</f>
        <v>VH8C290001</v>
      </c>
      <c r="C176" s="4" t="str">
        <f>"11月勞健保費"</f>
        <v>11月勞健保費</v>
      </c>
      <c r="D176" s="4" t="str">
        <f>"本會"</f>
        <v>本會</v>
      </c>
      <c r="E176" s="4" t="str">
        <f t="shared" si="8"/>
        <v>借</v>
      </c>
      <c r="F176" s="12">
        <f>3236</f>
        <v>3236</v>
      </c>
      <c r="G176" s="12"/>
      <c r="H176" s="12">
        <f>51421</f>
        <v>51421</v>
      </c>
    </row>
    <row r="177" spans="1:8" ht="15">
      <c r="A177" s="4">
        <f>""</f>
      </c>
      <c r="B177" s="4" t="str">
        <f>"月小計"</f>
        <v>月小計</v>
      </c>
      <c r="C177" s="4">
        <f>""</f>
      </c>
      <c r="D177" s="4">
        <f>""</f>
      </c>
      <c r="E177" s="4" t="str">
        <f t="shared" si="8"/>
        <v>借</v>
      </c>
      <c r="F177" s="12">
        <f>3236</f>
        <v>3236</v>
      </c>
      <c r="G177" s="12"/>
      <c r="H177" s="12">
        <f>51421</f>
        <v>51421</v>
      </c>
    </row>
    <row r="178" spans="1:9" ht="15.75">
      <c r="A178" s="4">
        <f>""</f>
      </c>
      <c r="B178" s="4" t="str">
        <f>"合    計"</f>
        <v>合    計</v>
      </c>
      <c r="C178" s="4">
        <f>""</f>
      </c>
      <c r="D178" s="4">
        <f>""</f>
      </c>
      <c r="E178" s="4" t="str">
        <f t="shared" si="8"/>
        <v>借</v>
      </c>
      <c r="F178" s="12">
        <f>51421</f>
        <v>51421</v>
      </c>
      <c r="G178" s="12"/>
      <c r="H178" s="12">
        <f>51421</f>
        <v>51421</v>
      </c>
      <c r="I178" s="16" t="s">
        <v>21</v>
      </c>
    </row>
    <row r="179" spans="1:8" ht="15">
      <c r="A179" s="4">
        <f>""</f>
      </c>
      <c r="B179" s="4" t="str">
        <f>"承上期"</f>
        <v>承上期</v>
      </c>
      <c r="C179" s="4">
        <f>""</f>
      </c>
      <c r="D179" s="4">
        <f>""</f>
      </c>
      <c r="E179" s="4">
        <f>""</f>
      </c>
      <c r="F179" s="12"/>
      <c r="G179" s="12"/>
      <c r="H179" s="12"/>
    </row>
    <row r="180" spans="1:8" ht="15">
      <c r="A180" s="4" t="str">
        <f>"98-02-16"</f>
        <v>98-02-16</v>
      </c>
      <c r="B180" s="4" t="str">
        <f>"VH82160002"</f>
        <v>VH82160002</v>
      </c>
      <c r="C180" s="4" t="str">
        <f>"12月勞工退休金"</f>
        <v>12月勞工退休金</v>
      </c>
      <c r="D180" s="4" t="str">
        <f>"本會"</f>
        <v>本會</v>
      </c>
      <c r="E180" s="4" t="str">
        <f aca="true" t="shared" si="9" ref="E180:E202">"借"</f>
        <v>借</v>
      </c>
      <c r="F180" s="12">
        <f>3816</f>
        <v>3816</v>
      </c>
      <c r="G180" s="12"/>
      <c r="H180" s="12">
        <f>3816</f>
        <v>3816</v>
      </c>
    </row>
    <row r="181" spans="1:8" ht="15">
      <c r="A181" s="4">
        <f>""</f>
      </c>
      <c r="B181" s="4" t="str">
        <f>"月小計"</f>
        <v>月小計</v>
      </c>
      <c r="C181" s="4">
        <f>""</f>
      </c>
      <c r="D181" s="4">
        <f>""</f>
      </c>
      <c r="E181" s="4" t="str">
        <f t="shared" si="9"/>
        <v>借</v>
      </c>
      <c r="F181" s="12">
        <f>3816</f>
        <v>3816</v>
      </c>
      <c r="G181" s="12"/>
      <c r="H181" s="12">
        <f>3816</f>
        <v>3816</v>
      </c>
    </row>
    <row r="182" spans="1:8" ht="15">
      <c r="A182" s="4" t="str">
        <f>"98-03-04"</f>
        <v>98-03-04</v>
      </c>
      <c r="B182" s="4" t="str">
        <f>"VH83040002"</f>
        <v>VH83040002</v>
      </c>
      <c r="C182" s="4" t="str">
        <f>"1月退休金"</f>
        <v>1月退休金</v>
      </c>
      <c r="D182" s="4" t="str">
        <f>"本會"</f>
        <v>本會</v>
      </c>
      <c r="E182" s="4" t="str">
        <f t="shared" si="9"/>
        <v>借</v>
      </c>
      <c r="F182" s="12">
        <f>3816</f>
        <v>3816</v>
      </c>
      <c r="G182" s="12"/>
      <c r="H182" s="12">
        <f>7632</f>
        <v>7632</v>
      </c>
    </row>
    <row r="183" spans="1:8" ht="15">
      <c r="A183" s="4" t="str">
        <f>"98-03-24"</f>
        <v>98-03-24</v>
      </c>
      <c r="B183" s="4" t="str">
        <f>"VH83240002"</f>
        <v>VH83240002</v>
      </c>
      <c r="C183" s="4" t="str">
        <f>"2月退休金"</f>
        <v>2月退休金</v>
      </c>
      <c r="D183" s="4" t="str">
        <f>"本會"</f>
        <v>本會</v>
      </c>
      <c r="E183" s="4" t="str">
        <f t="shared" si="9"/>
        <v>借</v>
      </c>
      <c r="F183" s="12">
        <f>3816</f>
        <v>3816</v>
      </c>
      <c r="G183" s="12"/>
      <c r="H183" s="12">
        <f>11448</f>
        <v>11448</v>
      </c>
    </row>
    <row r="184" spans="1:8" ht="15">
      <c r="A184" s="4">
        <f>""</f>
      </c>
      <c r="B184" s="4" t="str">
        <f>"月小計"</f>
        <v>月小計</v>
      </c>
      <c r="C184" s="4">
        <f>""</f>
      </c>
      <c r="D184" s="4">
        <f>""</f>
      </c>
      <c r="E184" s="4" t="str">
        <f t="shared" si="9"/>
        <v>借</v>
      </c>
      <c r="F184" s="12">
        <f>7632</f>
        <v>7632</v>
      </c>
      <c r="G184" s="12"/>
      <c r="H184" s="12">
        <f>11448</f>
        <v>11448</v>
      </c>
    </row>
    <row r="185" spans="1:8" ht="15">
      <c r="A185" s="4" t="str">
        <f>"98-04-28"</f>
        <v>98-04-28</v>
      </c>
      <c r="B185" s="4" t="str">
        <f>"VH84280002"</f>
        <v>VH84280002</v>
      </c>
      <c r="C185" s="4" t="str">
        <f>"3月退休金"</f>
        <v>3月退休金</v>
      </c>
      <c r="D185" s="4" t="str">
        <f>"本會"</f>
        <v>本會</v>
      </c>
      <c r="E185" s="4" t="str">
        <f t="shared" si="9"/>
        <v>借</v>
      </c>
      <c r="F185" s="12">
        <f>3816</f>
        <v>3816</v>
      </c>
      <c r="G185" s="12"/>
      <c r="H185" s="12">
        <f>15264</f>
        <v>15264</v>
      </c>
    </row>
    <row r="186" spans="1:8" ht="15">
      <c r="A186" s="4">
        <f>""</f>
      </c>
      <c r="B186" s="4" t="str">
        <f>"月小計"</f>
        <v>月小計</v>
      </c>
      <c r="C186" s="4">
        <f>""</f>
      </c>
      <c r="D186" s="4">
        <f>""</f>
      </c>
      <c r="E186" s="4" t="str">
        <f t="shared" si="9"/>
        <v>借</v>
      </c>
      <c r="F186" s="12">
        <f>3816</f>
        <v>3816</v>
      </c>
      <c r="G186" s="12"/>
      <c r="H186" s="12">
        <f>15264</f>
        <v>15264</v>
      </c>
    </row>
    <row r="187" spans="1:8" ht="15">
      <c r="A187" s="4" t="str">
        <f>"98-05-26"</f>
        <v>98-05-26</v>
      </c>
      <c r="B187" s="4" t="str">
        <f>"VH85260001"</f>
        <v>VH85260001</v>
      </c>
      <c r="C187" s="4" t="str">
        <f>"4月退休金"</f>
        <v>4月退休金</v>
      </c>
      <c r="D187" s="4" t="str">
        <f>"本會"</f>
        <v>本會</v>
      </c>
      <c r="E187" s="4" t="str">
        <f t="shared" si="9"/>
        <v>借</v>
      </c>
      <c r="F187" s="12">
        <f>2099</f>
        <v>2099</v>
      </c>
      <c r="G187" s="12"/>
      <c r="H187" s="12">
        <f>17363</f>
        <v>17363</v>
      </c>
    </row>
    <row r="188" spans="1:8" ht="15">
      <c r="A188" s="4">
        <f>""</f>
      </c>
      <c r="B188" s="4" t="str">
        <f>"月小計"</f>
        <v>月小計</v>
      </c>
      <c r="C188" s="4">
        <f>""</f>
      </c>
      <c r="D188" s="4">
        <f>""</f>
      </c>
      <c r="E188" s="4" t="str">
        <f t="shared" si="9"/>
        <v>借</v>
      </c>
      <c r="F188" s="12">
        <f>2099</f>
        <v>2099</v>
      </c>
      <c r="G188" s="12"/>
      <c r="H188" s="12">
        <f>17363</f>
        <v>17363</v>
      </c>
    </row>
    <row r="189" spans="1:8" ht="15">
      <c r="A189" s="4" t="str">
        <f>"98-06-26"</f>
        <v>98-06-26</v>
      </c>
      <c r="B189" s="4" t="str">
        <f>"VH86260002"</f>
        <v>VH86260002</v>
      </c>
      <c r="C189" s="4" t="str">
        <f>"5月退休金"</f>
        <v>5月退休金</v>
      </c>
      <c r="D189" s="4" t="str">
        <f>"本會"</f>
        <v>本會</v>
      </c>
      <c r="E189" s="4" t="str">
        <f t="shared" si="9"/>
        <v>借</v>
      </c>
      <c r="F189" s="12">
        <f>1908</f>
        <v>1908</v>
      </c>
      <c r="G189" s="12"/>
      <c r="H189" s="12">
        <f>19271</f>
        <v>19271</v>
      </c>
    </row>
    <row r="190" spans="1:8" ht="15">
      <c r="A190" s="4">
        <f>""</f>
      </c>
      <c r="B190" s="4" t="str">
        <f>"月小計"</f>
        <v>月小計</v>
      </c>
      <c r="C190" s="4">
        <f>""</f>
      </c>
      <c r="D190" s="4">
        <f>""</f>
      </c>
      <c r="E190" s="4" t="str">
        <f t="shared" si="9"/>
        <v>借</v>
      </c>
      <c r="F190" s="12">
        <f>1908</f>
        <v>1908</v>
      </c>
      <c r="G190" s="12"/>
      <c r="H190" s="12">
        <f>19271</f>
        <v>19271</v>
      </c>
    </row>
    <row r="191" spans="1:8" ht="15">
      <c r="A191" s="4" t="str">
        <f>"98-08-12"</f>
        <v>98-08-12</v>
      </c>
      <c r="B191" s="4" t="str">
        <f>"VH88120001"</f>
        <v>VH88120001</v>
      </c>
      <c r="C191" s="4" t="str">
        <f>"6月退休金"</f>
        <v>6月退休金</v>
      </c>
      <c r="D191" s="4" t="str">
        <f>"本會"</f>
        <v>本會</v>
      </c>
      <c r="E191" s="4" t="str">
        <f t="shared" si="9"/>
        <v>借</v>
      </c>
      <c r="F191" s="12">
        <f>1908</f>
        <v>1908</v>
      </c>
      <c r="G191" s="12"/>
      <c r="H191" s="12">
        <f>21179</f>
        <v>21179</v>
      </c>
    </row>
    <row r="192" spans="1:8" ht="15">
      <c r="A192" s="4">
        <f>""</f>
      </c>
      <c r="B192" s="4" t="str">
        <f>"月小計"</f>
        <v>月小計</v>
      </c>
      <c r="C192" s="4">
        <f>""</f>
      </c>
      <c r="D192" s="4">
        <f>""</f>
      </c>
      <c r="E192" s="4" t="str">
        <f t="shared" si="9"/>
        <v>借</v>
      </c>
      <c r="F192" s="12">
        <f>1908</f>
        <v>1908</v>
      </c>
      <c r="G192" s="12"/>
      <c r="H192" s="12">
        <f>21179</f>
        <v>21179</v>
      </c>
    </row>
    <row r="193" spans="1:8" ht="15">
      <c r="A193" s="4" t="str">
        <f>"98-09-01"</f>
        <v>98-09-01</v>
      </c>
      <c r="B193" s="4" t="str">
        <f>"VH89010001"</f>
        <v>VH89010001</v>
      </c>
      <c r="C193" s="4" t="str">
        <f>"7月退休金"</f>
        <v>7月退休金</v>
      </c>
      <c r="D193" s="4" t="str">
        <f>"本會"</f>
        <v>本會</v>
      </c>
      <c r="E193" s="4" t="str">
        <f t="shared" si="9"/>
        <v>借</v>
      </c>
      <c r="F193" s="12">
        <f>1908</f>
        <v>1908</v>
      </c>
      <c r="G193" s="12"/>
      <c r="H193" s="12">
        <f>23087</f>
        <v>23087</v>
      </c>
    </row>
    <row r="194" spans="1:8" ht="15">
      <c r="A194" s="4" t="str">
        <f>"98-09-28"</f>
        <v>98-09-28</v>
      </c>
      <c r="B194" s="4" t="str">
        <f>"VH89280001"</f>
        <v>VH89280001</v>
      </c>
      <c r="C194" s="4" t="str">
        <f>"8月退休金"</f>
        <v>8月退休金</v>
      </c>
      <c r="D194" s="4" t="str">
        <f>"本會"</f>
        <v>本會</v>
      </c>
      <c r="E194" s="4" t="str">
        <f t="shared" si="9"/>
        <v>借</v>
      </c>
      <c r="F194" s="12">
        <f>1908</f>
        <v>1908</v>
      </c>
      <c r="G194" s="12"/>
      <c r="H194" s="12">
        <f>24995</f>
        <v>24995</v>
      </c>
    </row>
    <row r="195" spans="1:8" ht="15">
      <c r="A195" s="4">
        <f>""</f>
      </c>
      <c r="B195" s="4" t="str">
        <f>"月小計"</f>
        <v>月小計</v>
      </c>
      <c r="C195" s="4">
        <f>""</f>
      </c>
      <c r="D195" s="4">
        <f>""</f>
      </c>
      <c r="E195" s="4" t="str">
        <f t="shared" si="9"/>
        <v>借</v>
      </c>
      <c r="F195" s="12">
        <f>3816</f>
        <v>3816</v>
      </c>
      <c r="G195" s="12"/>
      <c r="H195" s="12">
        <f>24995</f>
        <v>24995</v>
      </c>
    </row>
    <row r="196" spans="1:8" ht="15">
      <c r="A196" s="4" t="str">
        <f>"98-10-27"</f>
        <v>98-10-27</v>
      </c>
      <c r="B196" s="4" t="str">
        <f>"VH8A270001"</f>
        <v>VH8A270001</v>
      </c>
      <c r="C196" s="4" t="str">
        <f>"9月退休金"</f>
        <v>9月退休金</v>
      </c>
      <c r="D196" s="4" t="str">
        <f>"本會"</f>
        <v>本會</v>
      </c>
      <c r="E196" s="4" t="str">
        <f t="shared" si="9"/>
        <v>借</v>
      </c>
      <c r="F196" s="12">
        <f>1908</f>
        <v>1908</v>
      </c>
      <c r="G196" s="12"/>
      <c r="H196" s="12">
        <f>26903</f>
        <v>26903</v>
      </c>
    </row>
    <row r="197" spans="1:8" ht="15">
      <c r="A197" s="4">
        <f>""</f>
      </c>
      <c r="B197" s="4" t="str">
        <f>"月小計"</f>
        <v>月小計</v>
      </c>
      <c r="C197" s="4">
        <f>""</f>
      </c>
      <c r="D197" s="4">
        <f>""</f>
      </c>
      <c r="E197" s="4" t="str">
        <f t="shared" si="9"/>
        <v>借</v>
      </c>
      <c r="F197" s="12">
        <f>1908</f>
        <v>1908</v>
      </c>
      <c r="G197" s="12"/>
      <c r="H197" s="12">
        <f>26903</f>
        <v>26903</v>
      </c>
    </row>
    <row r="198" spans="1:8" ht="15">
      <c r="A198" s="4" t="str">
        <f>"98-11-25"</f>
        <v>98-11-25</v>
      </c>
      <c r="B198" s="4" t="str">
        <f>"VH8B250001"</f>
        <v>VH8B250001</v>
      </c>
      <c r="C198" s="4" t="str">
        <f>"10月退休金"</f>
        <v>10月退休金</v>
      </c>
      <c r="D198" s="4" t="str">
        <f>"本會"</f>
        <v>本會</v>
      </c>
      <c r="E198" s="4" t="str">
        <f t="shared" si="9"/>
        <v>借</v>
      </c>
      <c r="F198" s="12">
        <f>1908</f>
        <v>1908</v>
      </c>
      <c r="G198" s="12"/>
      <c r="H198" s="12">
        <f>28811</f>
        <v>28811</v>
      </c>
    </row>
    <row r="199" spans="1:8" ht="15">
      <c r="A199" s="4">
        <f>""</f>
      </c>
      <c r="B199" s="4" t="str">
        <f>"月小計"</f>
        <v>月小計</v>
      </c>
      <c r="C199" s="4">
        <f>""</f>
      </c>
      <c r="D199" s="4">
        <f>""</f>
      </c>
      <c r="E199" s="4" t="str">
        <f t="shared" si="9"/>
        <v>借</v>
      </c>
      <c r="F199" s="12">
        <f>1908</f>
        <v>1908</v>
      </c>
      <c r="G199" s="12"/>
      <c r="H199" s="12">
        <f>28811</f>
        <v>28811</v>
      </c>
    </row>
    <row r="200" spans="1:8" ht="15">
      <c r="A200" s="4" t="str">
        <f>"98-12-29"</f>
        <v>98-12-29</v>
      </c>
      <c r="B200" s="4" t="str">
        <f>"VH8C290001"</f>
        <v>VH8C290001</v>
      </c>
      <c r="C200" s="4" t="str">
        <f>"11月退休金"</f>
        <v>11月退休金</v>
      </c>
      <c r="D200" s="4" t="str">
        <f>"本會"</f>
        <v>本會</v>
      </c>
      <c r="E200" s="4" t="str">
        <f t="shared" si="9"/>
        <v>借</v>
      </c>
      <c r="F200" s="12">
        <f>1908</f>
        <v>1908</v>
      </c>
      <c r="G200" s="12"/>
      <c r="H200" s="12">
        <f>30719</f>
        <v>30719</v>
      </c>
    </row>
    <row r="201" spans="1:8" ht="15">
      <c r="A201" s="4">
        <f>""</f>
      </c>
      <c r="B201" s="4" t="str">
        <f>"月小計"</f>
        <v>月小計</v>
      </c>
      <c r="C201" s="4">
        <f>""</f>
      </c>
      <c r="D201" s="4">
        <f>""</f>
      </c>
      <c r="E201" s="4" t="str">
        <f t="shared" si="9"/>
        <v>借</v>
      </c>
      <c r="F201" s="12">
        <f>1908</f>
        <v>1908</v>
      </c>
      <c r="G201" s="12"/>
      <c r="H201" s="12">
        <f>30719</f>
        <v>30719</v>
      </c>
    </row>
    <row r="202" spans="1:9" ht="15.75">
      <c r="A202" s="4">
        <f>""</f>
      </c>
      <c r="B202" s="4" t="str">
        <f>"合    計"</f>
        <v>合    計</v>
      </c>
      <c r="C202" s="4">
        <f>""</f>
      </c>
      <c r="D202" s="4">
        <f>""</f>
      </c>
      <c r="E202" s="4" t="str">
        <f t="shared" si="9"/>
        <v>借</v>
      </c>
      <c r="F202" s="12">
        <f>30719</f>
        <v>30719</v>
      </c>
      <c r="G202" s="12"/>
      <c r="H202" s="12">
        <f>30719</f>
        <v>30719</v>
      </c>
      <c r="I202" s="16" t="s">
        <v>22</v>
      </c>
    </row>
    <row r="203" spans="1:8" ht="15">
      <c r="A203" s="4">
        <f>""</f>
      </c>
      <c r="B203" s="4" t="str">
        <f>"承上期"</f>
        <v>承上期</v>
      </c>
      <c r="C203" s="4">
        <f>""</f>
      </c>
      <c r="D203" s="4">
        <f>""</f>
      </c>
      <c r="E203" s="4">
        <f>""</f>
      </c>
      <c r="F203" s="12"/>
      <c r="G203" s="12"/>
      <c r="H203" s="12"/>
    </row>
    <row r="204" spans="1:8" ht="15">
      <c r="A204" s="4" t="str">
        <f>"98-02-19"</f>
        <v>98-02-19</v>
      </c>
      <c r="B204" s="4" t="str">
        <f>"VH82190001"</f>
        <v>VH82190001</v>
      </c>
      <c r="C204" s="4" t="str">
        <f>"文具用品"</f>
        <v>文具用品</v>
      </c>
      <c r="D204" s="4" t="str">
        <f>"本會"</f>
        <v>本會</v>
      </c>
      <c r="E204" s="4" t="str">
        <f aca="true" t="shared" si="10" ref="E204:E214">"借"</f>
        <v>借</v>
      </c>
      <c r="F204" s="12">
        <f>8373</f>
        <v>8373</v>
      </c>
      <c r="G204" s="12"/>
      <c r="H204" s="12">
        <f>8373</f>
        <v>8373</v>
      </c>
    </row>
    <row r="205" spans="1:8" ht="15">
      <c r="A205" s="4">
        <f>""</f>
      </c>
      <c r="B205" s="4" t="str">
        <f>"月小計"</f>
        <v>月小計</v>
      </c>
      <c r="C205" s="4">
        <f>""</f>
      </c>
      <c r="D205" s="4">
        <f>""</f>
      </c>
      <c r="E205" s="4" t="str">
        <f t="shared" si="10"/>
        <v>借</v>
      </c>
      <c r="F205" s="12">
        <f>8373</f>
        <v>8373</v>
      </c>
      <c r="G205" s="12"/>
      <c r="H205" s="12">
        <f>8373</f>
        <v>8373</v>
      </c>
    </row>
    <row r="206" spans="1:8" ht="15">
      <c r="A206" s="4" t="str">
        <f>"98-04-28"</f>
        <v>98-04-28</v>
      </c>
      <c r="B206" s="4" t="str">
        <f>"VH84280003"</f>
        <v>VH84280003</v>
      </c>
      <c r="C206" s="4" t="str">
        <f>"膠帶"</f>
        <v>膠帶</v>
      </c>
      <c r="D206" s="4" t="str">
        <f>"本會"</f>
        <v>本會</v>
      </c>
      <c r="E206" s="4" t="str">
        <f t="shared" si="10"/>
        <v>借</v>
      </c>
      <c r="F206" s="12">
        <f>90</f>
        <v>90</v>
      </c>
      <c r="G206" s="12"/>
      <c r="H206" s="12">
        <f>8463</f>
        <v>8463</v>
      </c>
    </row>
    <row r="207" spans="1:8" ht="15">
      <c r="A207" s="4">
        <f>""</f>
      </c>
      <c r="B207" s="4" t="str">
        <f>"月小計"</f>
        <v>月小計</v>
      </c>
      <c r="C207" s="4">
        <f>""</f>
      </c>
      <c r="D207" s="4">
        <f>""</f>
      </c>
      <c r="E207" s="4" t="str">
        <f t="shared" si="10"/>
        <v>借</v>
      </c>
      <c r="F207" s="12">
        <f>90</f>
        <v>90</v>
      </c>
      <c r="G207" s="12"/>
      <c r="H207" s="12">
        <f>8463</f>
        <v>8463</v>
      </c>
    </row>
    <row r="208" spans="1:8" ht="15">
      <c r="A208" s="4" t="str">
        <f>"98-05-21"</f>
        <v>98-05-21</v>
      </c>
      <c r="B208" s="4" t="str">
        <f>"VH85210001"</f>
        <v>VH85210001</v>
      </c>
      <c r="C208" s="4" t="str">
        <f>"HP墨水"</f>
        <v>HP墨水</v>
      </c>
      <c r="D208" s="4" t="str">
        <f>"本會"</f>
        <v>本會</v>
      </c>
      <c r="E208" s="4" t="str">
        <f t="shared" si="10"/>
        <v>借</v>
      </c>
      <c r="F208" s="12">
        <f>9600</f>
        <v>9600</v>
      </c>
      <c r="G208" s="12"/>
      <c r="H208" s="12">
        <f>18063</f>
        <v>18063</v>
      </c>
    </row>
    <row r="209" spans="1:8" ht="15">
      <c r="A209" s="4">
        <f>""</f>
      </c>
      <c r="B209" s="4" t="str">
        <f>"月小計"</f>
        <v>月小計</v>
      </c>
      <c r="C209" s="4">
        <f>""</f>
      </c>
      <c r="D209" s="4">
        <f>""</f>
      </c>
      <c r="E209" s="4" t="str">
        <f t="shared" si="10"/>
        <v>借</v>
      </c>
      <c r="F209" s="12">
        <f>9600</f>
        <v>9600</v>
      </c>
      <c r="G209" s="12"/>
      <c r="H209" s="12">
        <f>18063</f>
        <v>18063</v>
      </c>
    </row>
    <row r="210" spans="1:8" ht="15">
      <c r="A210" s="4" t="str">
        <f>"98-06-30"</f>
        <v>98-06-30</v>
      </c>
      <c r="B210" s="4" t="str">
        <f>"VH86300001"</f>
        <v>VH86300001</v>
      </c>
      <c r="C210" s="4" t="str">
        <f>"轉寫帶"</f>
        <v>轉寫帶</v>
      </c>
      <c r="D210" s="4" t="str">
        <f>"本會"</f>
        <v>本會</v>
      </c>
      <c r="E210" s="4" t="str">
        <f t="shared" si="10"/>
        <v>借</v>
      </c>
      <c r="F210" s="12">
        <f>798</f>
        <v>798</v>
      </c>
      <c r="G210" s="12"/>
      <c r="H210" s="12">
        <f>18861</f>
        <v>18861</v>
      </c>
    </row>
    <row r="211" spans="1:8" ht="15">
      <c r="A211" s="4">
        <f>""</f>
      </c>
      <c r="B211" s="4" t="str">
        <f>"月小計"</f>
        <v>月小計</v>
      </c>
      <c r="C211" s="4">
        <f>""</f>
      </c>
      <c r="D211" s="4">
        <f>""</f>
      </c>
      <c r="E211" s="4" t="str">
        <f t="shared" si="10"/>
        <v>借</v>
      </c>
      <c r="F211" s="12">
        <f>798</f>
        <v>798</v>
      </c>
      <c r="G211" s="12"/>
      <c r="H211" s="12">
        <f>18861</f>
        <v>18861</v>
      </c>
    </row>
    <row r="212" spans="1:8" ht="15">
      <c r="A212" s="4" t="str">
        <f>"98-07-23"</f>
        <v>98-07-23</v>
      </c>
      <c r="B212" s="4" t="str">
        <f>"VH87230001"</f>
        <v>VH87230001</v>
      </c>
      <c r="C212" s="4" t="str">
        <f>"影印紙"</f>
        <v>影印紙</v>
      </c>
      <c r="D212" s="4" t="str">
        <f>"本會"</f>
        <v>本會</v>
      </c>
      <c r="E212" s="4" t="str">
        <f t="shared" si="10"/>
        <v>借</v>
      </c>
      <c r="F212" s="12">
        <f>3000</f>
        <v>3000</v>
      </c>
      <c r="G212" s="12"/>
      <c r="H212" s="12">
        <f>21861</f>
        <v>21861</v>
      </c>
    </row>
    <row r="213" spans="1:8" ht="15">
      <c r="A213" s="4">
        <f>""</f>
      </c>
      <c r="B213" s="4" t="str">
        <f>"月小計"</f>
        <v>月小計</v>
      </c>
      <c r="C213" s="4">
        <f>""</f>
      </c>
      <c r="D213" s="4">
        <f>""</f>
      </c>
      <c r="E213" s="4" t="str">
        <f t="shared" si="10"/>
        <v>借</v>
      </c>
      <c r="F213" s="12">
        <f>3000</f>
        <v>3000</v>
      </c>
      <c r="G213" s="12"/>
      <c r="H213" s="12">
        <f>21861</f>
        <v>21861</v>
      </c>
    </row>
    <row r="214" spans="1:9" ht="15.75">
      <c r="A214" s="4">
        <f>""</f>
      </c>
      <c r="B214" s="4" t="str">
        <f>"合    計"</f>
        <v>合    計</v>
      </c>
      <c r="C214" s="4">
        <f>""</f>
      </c>
      <c r="D214" s="4">
        <f>""</f>
      </c>
      <c r="E214" s="4" t="str">
        <f t="shared" si="10"/>
        <v>借</v>
      </c>
      <c r="F214" s="12">
        <f>21861</f>
        <v>21861</v>
      </c>
      <c r="G214" s="12"/>
      <c r="H214" s="12">
        <f>21861</f>
        <v>21861</v>
      </c>
      <c r="I214" s="16" t="s">
        <v>23</v>
      </c>
    </row>
    <row r="215" spans="1:8" ht="15">
      <c r="A215" s="4">
        <f>""</f>
      </c>
      <c r="B215" s="4" t="str">
        <f>"承上期"</f>
        <v>承上期</v>
      </c>
      <c r="C215" s="4">
        <f>""</f>
      </c>
      <c r="D215" s="4">
        <f>""</f>
      </c>
      <c r="E215" s="4">
        <f>""</f>
      </c>
      <c r="F215" s="12"/>
      <c r="G215" s="12"/>
      <c r="H215" s="12"/>
    </row>
    <row r="216" spans="1:8" ht="15">
      <c r="A216" s="4" t="str">
        <f>"98-02-16"</f>
        <v>98-02-16</v>
      </c>
      <c r="B216" s="4" t="str">
        <f>"VH82160002"</f>
        <v>VH82160002</v>
      </c>
      <c r="C216" s="4" t="str">
        <f>"影印"</f>
        <v>影印</v>
      </c>
      <c r="D216" s="4" t="str">
        <f>"本會"</f>
        <v>本會</v>
      </c>
      <c r="E216" s="4" t="str">
        <f aca="true" t="shared" si="11" ref="E216:E237">"借"</f>
        <v>借</v>
      </c>
      <c r="F216" s="12">
        <f>288</f>
        <v>288</v>
      </c>
      <c r="G216" s="12"/>
      <c r="H216" s="12">
        <f>288</f>
        <v>288</v>
      </c>
    </row>
    <row r="217" spans="1:8" ht="15">
      <c r="A217" s="4" t="str">
        <f>"98-02-19"</f>
        <v>98-02-19</v>
      </c>
      <c r="B217" s="4" t="str">
        <f>"VH82190001"</f>
        <v>VH82190001</v>
      </c>
      <c r="C217" s="4" t="str">
        <f>"影印"</f>
        <v>影印</v>
      </c>
      <c r="D217" s="4" t="str">
        <f>"本會"</f>
        <v>本會</v>
      </c>
      <c r="E217" s="4" t="str">
        <f t="shared" si="11"/>
        <v>借</v>
      </c>
      <c r="F217" s="12">
        <f>2531</f>
        <v>2531</v>
      </c>
      <c r="G217" s="12"/>
      <c r="H217" s="12">
        <f>2819</f>
        <v>2819</v>
      </c>
    </row>
    <row r="218" spans="1:8" ht="15">
      <c r="A218" s="4" t="str">
        <f>"98-02-19"</f>
        <v>98-02-19</v>
      </c>
      <c r="B218" s="4" t="str">
        <f>"VH82190001"</f>
        <v>VH82190001</v>
      </c>
      <c r="C218" s="4" t="str">
        <f>"影印"</f>
        <v>影印</v>
      </c>
      <c r="D218" s="4" t="str">
        <f>"本會"</f>
        <v>本會</v>
      </c>
      <c r="E218" s="4" t="str">
        <f t="shared" si="11"/>
        <v>借</v>
      </c>
      <c r="F218" s="12">
        <f>1680</f>
        <v>1680</v>
      </c>
      <c r="G218" s="12"/>
      <c r="H218" s="12">
        <f>4499</f>
        <v>4499</v>
      </c>
    </row>
    <row r="219" spans="1:8" ht="15">
      <c r="A219" s="4">
        <f>""</f>
      </c>
      <c r="B219" s="4" t="str">
        <f>"月小計"</f>
        <v>月小計</v>
      </c>
      <c r="C219" s="4">
        <f>""</f>
      </c>
      <c r="D219" s="4">
        <f>""</f>
      </c>
      <c r="E219" s="4" t="str">
        <f t="shared" si="11"/>
        <v>借</v>
      </c>
      <c r="F219" s="12">
        <f>4499</f>
        <v>4499</v>
      </c>
      <c r="G219" s="12"/>
      <c r="H219" s="12">
        <f>4499</f>
        <v>4499</v>
      </c>
    </row>
    <row r="220" spans="1:8" ht="15">
      <c r="A220" s="4" t="str">
        <f>"98-03-04"</f>
        <v>98-03-04</v>
      </c>
      <c r="B220" s="4" t="str">
        <f>"VH83040003"</f>
        <v>VH83040003</v>
      </c>
      <c r="C220" s="4" t="str">
        <f>"影印"</f>
        <v>影印</v>
      </c>
      <c r="D220" s="4" t="str">
        <f>"本會"</f>
        <v>本會</v>
      </c>
      <c r="E220" s="4" t="str">
        <f t="shared" si="11"/>
        <v>借</v>
      </c>
      <c r="F220" s="12">
        <f>618</f>
        <v>618</v>
      </c>
      <c r="G220" s="12"/>
      <c r="H220" s="12">
        <f>5117</f>
        <v>5117</v>
      </c>
    </row>
    <row r="221" spans="1:8" ht="15">
      <c r="A221" s="4" t="str">
        <f>"98-03-13"</f>
        <v>98-03-13</v>
      </c>
      <c r="B221" s="4" t="str">
        <f>"VH83130002"</f>
        <v>VH83130002</v>
      </c>
      <c r="C221" s="4" t="str">
        <f>"影印"</f>
        <v>影印</v>
      </c>
      <c r="D221" s="4" t="str">
        <f>"本會"</f>
        <v>本會</v>
      </c>
      <c r="E221" s="4" t="str">
        <f t="shared" si="11"/>
        <v>借</v>
      </c>
      <c r="F221" s="12">
        <f>40</f>
        <v>40</v>
      </c>
      <c r="G221" s="12"/>
      <c r="H221" s="12">
        <f>5157</f>
        <v>5157</v>
      </c>
    </row>
    <row r="222" spans="1:8" ht="15">
      <c r="A222" s="4" t="str">
        <f>"98-03-13"</f>
        <v>98-03-13</v>
      </c>
      <c r="B222" s="4" t="str">
        <f>"VH83130002"</f>
        <v>VH83130002</v>
      </c>
      <c r="C222" s="4" t="str">
        <f>"印刷會刊等"</f>
        <v>印刷會刊等</v>
      </c>
      <c r="D222" s="4" t="str">
        <f>"本會"</f>
        <v>本會</v>
      </c>
      <c r="E222" s="4" t="str">
        <f t="shared" si="11"/>
        <v>借</v>
      </c>
      <c r="F222" s="12">
        <f>34100</f>
        <v>34100</v>
      </c>
      <c r="G222" s="12"/>
      <c r="H222" s="12">
        <f>39257</f>
        <v>39257</v>
      </c>
    </row>
    <row r="223" spans="1:8" ht="15">
      <c r="A223" s="4" t="str">
        <f>"98-03-24"</f>
        <v>98-03-24</v>
      </c>
      <c r="B223" s="4" t="str">
        <f>"VH83240002"</f>
        <v>VH83240002</v>
      </c>
      <c r="C223" s="4" t="str">
        <f>"影印"</f>
        <v>影印</v>
      </c>
      <c r="D223" s="4" t="str">
        <f>"本會"</f>
        <v>本會</v>
      </c>
      <c r="E223" s="4" t="str">
        <f t="shared" si="11"/>
        <v>借</v>
      </c>
      <c r="F223" s="12">
        <f>860</f>
        <v>860</v>
      </c>
      <c r="G223" s="12"/>
      <c r="H223" s="12">
        <f>40117</f>
        <v>40117</v>
      </c>
    </row>
    <row r="224" spans="1:8" ht="15">
      <c r="A224" s="4" t="str">
        <f>"98-03-24"</f>
        <v>98-03-24</v>
      </c>
      <c r="B224" s="4" t="str">
        <f>"VH83240002"</f>
        <v>VH83240002</v>
      </c>
      <c r="C224" s="4" t="str">
        <f>"印刷品印製"</f>
        <v>印刷品印製</v>
      </c>
      <c r="D224" s="4" t="str">
        <f>"本會"</f>
        <v>本會</v>
      </c>
      <c r="E224" s="4" t="str">
        <f t="shared" si="11"/>
        <v>借</v>
      </c>
      <c r="F224" s="12">
        <f>123690</f>
        <v>123690</v>
      </c>
      <c r="G224" s="12"/>
      <c r="H224" s="12">
        <f>163807</f>
        <v>163807</v>
      </c>
    </row>
    <row r="225" spans="1:8" ht="15">
      <c r="A225" s="4">
        <f>""</f>
      </c>
      <c r="B225" s="4" t="str">
        <f>"月小計"</f>
        <v>月小計</v>
      </c>
      <c r="C225" s="4">
        <f>""</f>
      </c>
      <c r="D225" s="4">
        <f>""</f>
      </c>
      <c r="E225" s="4" t="str">
        <f t="shared" si="11"/>
        <v>借</v>
      </c>
      <c r="F225" s="12">
        <f>159308</f>
        <v>159308</v>
      </c>
      <c r="G225" s="12"/>
      <c r="H225" s="12">
        <f>163807</f>
        <v>163807</v>
      </c>
    </row>
    <row r="226" spans="1:8" ht="15">
      <c r="A226" s="4" t="str">
        <f>"98-06-19"</f>
        <v>98-06-19</v>
      </c>
      <c r="B226" s="4" t="str">
        <f>"VH86190001"</f>
        <v>VH86190001</v>
      </c>
      <c r="C226" s="4" t="str">
        <f>"影印"</f>
        <v>影印</v>
      </c>
      <c r="D226" s="4" t="str">
        <f>"本會"</f>
        <v>本會</v>
      </c>
      <c r="E226" s="4" t="str">
        <f t="shared" si="11"/>
        <v>借</v>
      </c>
      <c r="F226" s="12">
        <f>370</f>
        <v>370</v>
      </c>
      <c r="G226" s="12"/>
      <c r="H226" s="12">
        <f>164177</f>
        <v>164177</v>
      </c>
    </row>
    <row r="227" spans="1:8" ht="15">
      <c r="A227" s="4" t="str">
        <f>"98-06-30"</f>
        <v>98-06-30</v>
      </c>
      <c r="B227" s="4" t="str">
        <f>"VH86300001"</f>
        <v>VH86300001</v>
      </c>
      <c r="C227" s="4" t="str">
        <f>"影印"</f>
        <v>影印</v>
      </c>
      <c r="D227" s="4" t="str">
        <f>"本會"</f>
        <v>本會</v>
      </c>
      <c r="E227" s="4" t="str">
        <f t="shared" si="11"/>
        <v>借</v>
      </c>
      <c r="F227" s="12">
        <f>3336</f>
        <v>3336</v>
      </c>
      <c r="G227" s="12"/>
      <c r="H227" s="12">
        <f>167513</f>
        <v>167513</v>
      </c>
    </row>
    <row r="228" spans="1:8" ht="15">
      <c r="A228" s="4">
        <f>""</f>
      </c>
      <c r="B228" s="4" t="str">
        <f>"月小計"</f>
        <v>月小計</v>
      </c>
      <c r="C228" s="4">
        <f>""</f>
      </c>
      <c r="D228" s="4">
        <f>""</f>
      </c>
      <c r="E228" s="4" t="str">
        <f t="shared" si="11"/>
        <v>借</v>
      </c>
      <c r="F228" s="12">
        <f>3706</f>
        <v>3706</v>
      </c>
      <c r="G228" s="12"/>
      <c r="H228" s="12">
        <f>167513</f>
        <v>167513</v>
      </c>
    </row>
    <row r="229" spans="1:8" ht="15">
      <c r="A229" s="4" t="str">
        <f>"98-07-23"</f>
        <v>98-07-23</v>
      </c>
      <c r="B229" s="4" t="str">
        <f>"VH87230001"</f>
        <v>VH87230001</v>
      </c>
      <c r="C229" s="4" t="str">
        <f>"印証書費"</f>
        <v>印証書費</v>
      </c>
      <c r="D229" s="4" t="str">
        <f>"本會"</f>
        <v>本會</v>
      </c>
      <c r="E229" s="4" t="str">
        <f t="shared" si="11"/>
        <v>借</v>
      </c>
      <c r="F229" s="12">
        <f>1900</f>
        <v>1900</v>
      </c>
      <c r="G229" s="12"/>
      <c r="H229" s="12">
        <f>169413</f>
        <v>169413</v>
      </c>
    </row>
    <row r="230" spans="1:8" ht="15">
      <c r="A230" s="4">
        <f>""</f>
      </c>
      <c r="B230" s="4" t="str">
        <f>"月小計"</f>
        <v>月小計</v>
      </c>
      <c r="C230" s="4">
        <f>""</f>
      </c>
      <c r="D230" s="4">
        <f>""</f>
      </c>
      <c r="E230" s="4" t="str">
        <f t="shared" si="11"/>
        <v>借</v>
      </c>
      <c r="F230" s="12">
        <f>1900</f>
        <v>1900</v>
      </c>
      <c r="G230" s="12"/>
      <c r="H230" s="12">
        <f>169413</f>
        <v>169413</v>
      </c>
    </row>
    <row r="231" spans="1:8" ht="15">
      <c r="A231" s="4" t="str">
        <f>"98-10-13"</f>
        <v>98-10-13</v>
      </c>
      <c r="B231" s="4" t="str">
        <f>"VH8A130001"</f>
        <v>VH8A130001</v>
      </c>
      <c r="C231" s="4" t="str">
        <f>"影印"</f>
        <v>影印</v>
      </c>
      <c r="D231" s="4" t="str">
        <f>"本會"</f>
        <v>本會</v>
      </c>
      <c r="E231" s="4" t="str">
        <f t="shared" si="11"/>
        <v>借</v>
      </c>
      <c r="F231" s="12">
        <f>889</f>
        <v>889</v>
      </c>
      <c r="G231" s="12"/>
      <c r="H231" s="12">
        <f>170302</f>
        <v>170302</v>
      </c>
    </row>
    <row r="232" spans="1:8" ht="15">
      <c r="A232" s="4">
        <f>""</f>
      </c>
      <c r="B232" s="4" t="str">
        <f>"月小計"</f>
        <v>月小計</v>
      </c>
      <c r="C232" s="4">
        <f>""</f>
      </c>
      <c r="D232" s="4">
        <f>""</f>
      </c>
      <c r="E232" s="4" t="str">
        <f t="shared" si="11"/>
        <v>借</v>
      </c>
      <c r="F232" s="12">
        <f>889</f>
        <v>889</v>
      </c>
      <c r="G232" s="12"/>
      <c r="H232" s="12">
        <f>170302</f>
        <v>170302</v>
      </c>
    </row>
    <row r="233" spans="1:8" ht="15">
      <c r="A233" s="4" t="str">
        <f>"98-11-25"</f>
        <v>98-11-25</v>
      </c>
      <c r="B233" s="4" t="str">
        <f>"VH8B250001"</f>
        <v>VH8B250001</v>
      </c>
      <c r="C233" s="4" t="str">
        <f>"影印積分簽名單"</f>
        <v>影印積分簽名單</v>
      </c>
      <c r="D233" s="4" t="str">
        <f>"本會"</f>
        <v>本會</v>
      </c>
      <c r="E233" s="4" t="str">
        <f t="shared" si="11"/>
        <v>借</v>
      </c>
      <c r="F233" s="12">
        <f>95</f>
        <v>95</v>
      </c>
      <c r="G233" s="12"/>
      <c r="H233" s="12">
        <f>170397</f>
        <v>170397</v>
      </c>
    </row>
    <row r="234" spans="1:8" ht="15">
      <c r="A234" s="4">
        <f>""</f>
      </c>
      <c r="B234" s="4" t="str">
        <f>"月小計"</f>
        <v>月小計</v>
      </c>
      <c r="C234" s="4">
        <f>""</f>
      </c>
      <c r="D234" s="4">
        <f>""</f>
      </c>
      <c r="E234" s="4" t="str">
        <f t="shared" si="11"/>
        <v>借</v>
      </c>
      <c r="F234" s="12">
        <f>95</f>
        <v>95</v>
      </c>
      <c r="G234" s="12"/>
      <c r="H234" s="12">
        <f>170397</f>
        <v>170397</v>
      </c>
    </row>
    <row r="235" spans="1:8" ht="15">
      <c r="A235" s="4" t="str">
        <f>"98-12-11"</f>
        <v>98-12-11</v>
      </c>
      <c r="B235" s="4" t="str">
        <f>"VH8C110001"</f>
        <v>VH8C110001</v>
      </c>
      <c r="C235" s="4" t="str">
        <f>"開會資料"</f>
        <v>開會資料</v>
      </c>
      <c r="D235" s="4" t="str">
        <f>"本會"</f>
        <v>本會</v>
      </c>
      <c r="E235" s="4" t="str">
        <f t="shared" si="11"/>
        <v>借</v>
      </c>
      <c r="F235" s="12">
        <f>300</f>
        <v>300</v>
      </c>
      <c r="G235" s="12"/>
      <c r="H235" s="12">
        <f>170697</f>
        <v>170697</v>
      </c>
    </row>
    <row r="236" spans="1:8" ht="15">
      <c r="A236" s="4">
        <f>""</f>
      </c>
      <c r="B236" s="4" t="str">
        <f>"月小計"</f>
        <v>月小計</v>
      </c>
      <c r="C236" s="4">
        <f>""</f>
      </c>
      <c r="D236" s="4">
        <f>""</f>
      </c>
      <c r="E236" s="4" t="str">
        <f t="shared" si="11"/>
        <v>借</v>
      </c>
      <c r="F236" s="12">
        <f>300</f>
        <v>300</v>
      </c>
      <c r="G236" s="12"/>
      <c r="H236" s="12">
        <f>170697</f>
        <v>170697</v>
      </c>
    </row>
    <row r="237" spans="1:9" ht="15.75">
      <c r="A237" s="4">
        <f>""</f>
      </c>
      <c r="B237" s="4" t="str">
        <f>"合    計"</f>
        <v>合    計</v>
      </c>
      <c r="C237" s="4">
        <f>""</f>
      </c>
      <c r="D237" s="4">
        <f>""</f>
      </c>
      <c r="E237" s="4" t="str">
        <f t="shared" si="11"/>
        <v>借</v>
      </c>
      <c r="F237" s="12">
        <f>170697</f>
        <v>170697</v>
      </c>
      <c r="G237" s="12"/>
      <c r="H237" s="12">
        <f>170697</f>
        <v>170697</v>
      </c>
      <c r="I237" s="16" t="s">
        <v>24</v>
      </c>
    </row>
    <row r="238" spans="1:8" ht="15">
      <c r="A238" s="4">
        <f>""</f>
      </c>
      <c r="B238" s="4" t="str">
        <f>"承上期"</f>
        <v>承上期</v>
      </c>
      <c r="C238" s="4">
        <f>""</f>
      </c>
      <c r="D238" s="4">
        <f>""</f>
      </c>
      <c r="E238" s="4">
        <f>""</f>
      </c>
      <c r="F238" s="12"/>
      <c r="G238" s="12"/>
      <c r="H238" s="12"/>
    </row>
    <row r="239" spans="1:8" ht="15">
      <c r="A239" s="4" t="str">
        <f>"98-03-13"</f>
        <v>98-03-13</v>
      </c>
      <c r="B239" s="4" t="str">
        <f>"VH83130002"</f>
        <v>VH83130002</v>
      </c>
      <c r="C239" s="4" t="str">
        <f>"3/8由TICC運回學會"</f>
        <v>3/8由TICC運回學會</v>
      </c>
      <c r="D239" s="4" t="str">
        <f>"本會"</f>
        <v>本會</v>
      </c>
      <c r="E239" s="4" t="str">
        <f>"借"</f>
        <v>借</v>
      </c>
      <c r="F239" s="12">
        <f>560</f>
        <v>560</v>
      </c>
      <c r="G239" s="12"/>
      <c r="H239" s="12">
        <f>560</f>
        <v>560</v>
      </c>
    </row>
    <row r="240" spans="1:8" ht="15">
      <c r="A240" s="4" t="str">
        <f>"98-03-20"</f>
        <v>98-03-20</v>
      </c>
      <c r="B240" s="4" t="str">
        <f>"VH83200001"</f>
        <v>VH83200001</v>
      </c>
      <c r="C240" s="4" t="str">
        <f>"計程車車資"</f>
        <v>計程車車資</v>
      </c>
      <c r="D240" s="4" t="str">
        <f>"本會"</f>
        <v>本會</v>
      </c>
      <c r="E240" s="4" t="str">
        <f>"借"</f>
        <v>借</v>
      </c>
      <c r="F240" s="12">
        <f>330</f>
        <v>330</v>
      </c>
      <c r="G240" s="12"/>
      <c r="H240" s="12">
        <f>890</f>
        <v>890</v>
      </c>
    </row>
    <row r="241" spans="1:8" ht="15">
      <c r="A241" s="4">
        <f>""</f>
      </c>
      <c r="B241" s="4" t="str">
        <f>"月小計"</f>
        <v>月小計</v>
      </c>
      <c r="C241" s="4">
        <f>""</f>
      </c>
      <c r="D241" s="4">
        <f>""</f>
      </c>
      <c r="E241" s="4" t="str">
        <f>"借"</f>
        <v>借</v>
      </c>
      <c r="F241" s="12">
        <f>890</f>
        <v>890</v>
      </c>
      <c r="G241" s="12"/>
      <c r="H241" s="12">
        <f>890</f>
        <v>890</v>
      </c>
    </row>
    <row r="242" spans="1:9" ht="15.75">
      <c r="A242" s="4">
        <f>""</f>
      </c>
      <c r="B242" s="4" t="str">
        <f>"合    計"</f>
        <v>合    計</v>
      </c>
      <c r="C242" s="4">
        <f>""</f>
      </c>
      <c r="D242" s="4">
        <f>""</f>
      </c>
      <c r="E242" s="4" t="str">
        <f>"借"</f>
        <v>借</v>
      </c>
      <c r="F242" s="12">
        <f>890</f>
        <v>890</v>
      </c>
      <c r="G242" s="12"/>
      <c r="H242" s="12">
        <f>890</f>
        <v>890</v>
      </c>
      <c r="I242" s="16" t="s">
        <v>25</v>
      </c>
    </row>
    <row r="243" spans="1:8" ht="15">
      <c r="A243" s="4">
        <f>""</f>
      </c>
      <c r="B243" s="4" t="str">
        <f>"承上期"</f>
        <v>承上期</v>
      </c>
      <c r="C243" s="4">
        <f>""</f>
      </c>
      <c r="D243" s="4">
        <f>""</f>
      </c>
      <c r="E243" s="4">
        <f>""</f>
      </c>
      <c r="F243" s="12"/>
      <c r="G243" s="12"/>
      <c r="H243" s="12"/>
    </row>
    <row r="244" spans="1:8" ht="15">
      <c r="A244" s="4" t="str">
        <f>"98-02-03"</f>
        <v>98-02-03</v>
      </c>
      <c r="B244" s="4" t="str">
        <f>"VH82030002"</f>
        <v>VH82030002</v>
      </c>
      <c r="C244" s="4" t="str">
        <f>"1月份電話費"</f>
        <v>1月份電話費</v>
      </c>
      <c r="D244" s="4" t="str">
        <f aca="true" t="shared" si="12" ref="D244:D251">"本會"</f>
        <v>本會</v>
      </c>
      <c r="E244" s="4" t="str">
        <f aca="true" t="shared" si="13" ref="E244:E275">"借"</f>
        <v>借</v>
      </c>
      <c r="F244" s="12">
        <f>5844</f>
        <v>5844</v>
      </c>
      <c r="G244" s="12"/>
      <c r="H244" s="12">
        <f>5844</f>
        <v>5844</v>
      </c>
    </row>
    <row r="245" spans="1:8" ht="15">
      <c r="A245" s="4" t="str">
        <f>"98-02-03"</f>
        <v>98-02-03</v>
      </c>
      <c r="B245" s="4" t="str">
        <f>"VH82030002"</f>
        <v>VH82030002</v>
      </c>
      <c r="C245" s="4" t="str">
        <f>"郵資"</f>
        <v>郵資</v>
      </c>
      <c r="D245" s="4" t="str">
        <f t="shared" si="12"/>
        <v>本會</v>
      </c>
      <c r="E245" s="4" t="str">
        <f t="shared" si="13"/>
        <v>借</v>
      </c>
      <c r="F245" s="12">
        <f>1000</f>
        <v>1000</v>
      </c>
      <c r="G245" s="12"/>
      <c r="H245" s="12">
        <f>6844</f>
        <v>6844</v>
      </c>
    </row>
    <row r="246" spans="1:8" ht="15">
      <c r="A246" s="4" t="str">
        <f>"98-02-16"</f>
        <v>98-02-16</v>
      </c>
      <c r="B246" s="4" t="str">
        <f>"VH82160002"</f>
        <v>VH82160002</v>
      </c>
      <c r="C246" s="4" t="str">
        <f>"郵資"</f>
        <v>郵資</v>
      </c>
      <c r="D246" s="4" t="str">
        <f t="shared" si="12"/>
        <v>本會</v>
      </c>
      <c r="E246" s="4" t="str">
        <f t="shared" si="13"/>
        <v>借</v>
      </c>
      <c r="F246" s="12">
        <f>45</f>
        <v>45</v>
      </c>
      <c r="G246" s="12"/>
      <c r="H246" s="12">
        <f>6889</f>
        <v>6889</v>
      </c>
    </row>
    <row r="247" spans="1:8" ht="15">
      <c r="A247" s="4" t="str">
        <f>"98-02-19"</f>
        <v>98-02-19</v>
      </c>
      <c r="B247" s="4" t="str">
        <f>"VH82190001"</f>
        <v>VH82190001</v>
      </c>
      <c r="C247" s="4" t="str">
        <f>"2月電話費"</f>
        <v>2月電話費</v>
      </c>
      <c r="D247" s="4" t="str">
        <f t="shared" si="12"/>
        <v>本會</v>
      </c>
      <c r="E247" s="4" t="str">
        <f t="shared" si="13"/>
        <v>借</v>
      </c>
      <c r="F247" s="12">
        <f>2707</f>
        <v>2707</v>
      </c>
      <c r="G247" s="12"/>
      <c r="H247" s="12">
        <f>9596</f>
        <v>9596</v>
      </c>
    </row>
    <row r="248" spans="1:8" ht="15">
      <c r="A248" s="4" t="str">
        <f>"98-02-19"</f>
        <v>98-02-19</v>
      </c>
      <c r="B248" s="4" t="str">
        <f>"VH82190001"</f>
        <v>VH82190001</v>
      </c>
      <c r="C248" s="4" t="str">
        <f>"2月電話費"</f>
        <v>2月電話費</v>
      </c>
      <c r="D248" s="4" t="str">
        <f t="shared" si="12"/>
        <v>本會</v>
      </c>
      <c r="E248" s="4" t="str">
        <f t="shared" si="13"/>
        <v>借</v>
      </c>
      <c r="F248" s="12">
        <f>1206</f>
        <v>1206</v>
      </c>
      <c r="G248" s="12"/>
      <c r="H248" s="12">
        <f>10802</f>
        <v>10802</v>
      </c>
    </row>
    <row r="249" spans="1:8" ht="15">
      <c r="A249" s="4" t="str">
        <f>"98-02-19"</f>
        <v>98-02-19</v>
      </c>
      <c r="B249" s="4" t="str">
        <f>"VH82190001"</f>
        <v>VH82190001</v>
      </c>
      <c r="C249" s="4" t="str">
        <f>"郵資"</f>
        <v>郵資</v>
      </c>
      <c r="D249" s="4" t="str">
        <f t="shared" si="12"/>
        <v>本會</v>
      </c>
      <c r="E249" s="4" t="str">
        <f t="shared" si="13"/>
        <v>借</v>
      </c>
      <c r="F249" s="12">
        <f>4221</f>
        <v>4221</v>
      </c>
      <c r="G249" s="12"/>
      <c r="H249" s="12">
        <f>15023</f>
        <v>15023</v>
      </c>
    </row>
    <row r="250" spans="1:8" ht="15">
      <c r="A250" s="4" t="str">
        <f>"98-02-19"</f>
        <v>98-02-19</v>
      </c>
      <c r="B250" s="4" t="str">
        <f>"VH82190001"</f>
        <v>VH82190001</v>
      </c>
      <c r="C250" s="4" t="str">
        <f>"郵資"</f>
        <v>郵資</v>
      </c>
      <c r="D250" s="4" t="str">
        <f t="shared" si="12"/>
        <v>本會</v>
      </c>
      <c r="E250" s="4" t="str">
        <f t="shared" si="13"/>
        <v>借</v>
      </c>
      <c r="F250" s="12">
        <f>1310</f>
        <v>1310</v>
      </c>
      <c r="G250" s="12"/>
      <c r="H250" s="12">
        <f>16333</f>
        <v>16333</v>
      </c>
    </row>
    <row r="251" spans="1:8" ht="15">
      <c r="A251" s="4" t="str">
        <f>"98-02-19"</f>
        <v>98-02-19</v>
      </c>
      <c r="B251" s="4" t="str">
        <f>"VH82190001"</f>
        <v>VH82190001</v>
      </c>
      <c r="C251" s="4" t="str">
        <f>"郵資"</f>
        <v>郵資</v>
      </c>
      <c r="D251" s="4" t="str">
        <f t="shared" si="12"/>
        <v>本會</v>
      </c>
      <c r="E251" s="4" t="str">
        <f t="shared" si="13"/>
        <v>借</v>
      </c>
      <c r="F251" s="12">
        <f>1501</f>
        <v>1501</v>
      </c>
      <c r="G251" s="12"/>
      <c r="H251" s="12">
        <f>17834</f>
        <v>17834</v>
      </c>
    </row>
    <row r="252" spans="1:8" ht="15">
      <c r="A252" s="4">
        <f>""</f>
      </c>
      <c r="B252" s="4" t="str">
        <f>"月小計"</f>
        <v>月小計</v>
      </c>
      <c r="C252" s="4">
        <f>""</f>
      </c>
      <c r="D252" s="4">
        <f>""</f>
      </c>
      <c r="E252" s="4" t="str">
        <f t="shared" si="13"/>
        <v>借</v>
      </c>
      <c r="F252" s="12">
        <f>17834</f>
        <v>17834</v>
      </c>
      <c r="G252" s="12"/>
      <c r="H252" s="12">
        <f>17834</f>
        <v>17834</v>
      </c>
    </row>
    <row r="253" spans="1:8" ht="15">
      <c r="A253" s="4" t="str">
        <f>"98-03-04"</f>
        <v>98-03-04</v>
      </c>
      <c r="B253" s="4" t="str">
        <f>"VH83040002"</f>
        <v>VH83040002</v>
      </c>
      <c r="C253" s="4" t="str">
        <f>"郵資"</f>
        <v>郵資</v>
      </c>
      <c r="D253" s="4" t="str">
        <f aca="true" t="shared" si="14" ref="D253:D259">"本會"</f>
        <v>本會</v>
      </c>
      <c r="E253" s="4" t="str">
        <f t="shared" si="13"/>
        <v>借</v>
      </c>
      <c r="F253" s="12">
        <f>1000</f>
        <v>1000</v>
      </c>
      <c r="G253" s="12"/>
      <c r="H253" s="12">
        <f>18834</f>
        <v>18834</v>
      </c>
    </row>
    <row r="254" spans="1:8" ht="15">
      <c r="A254" s="4" t="str">
        <f>"98-03-13"</f>
        <v>98-03-13</v>
      </c>
      <c r="B254" s="4" t="str">
        <f>"VH83130002"</f>
        <v>VH83130002</v>
      </c>
      <c r="C254" s="4" t="str">
        <f>"郵資"</f>
        <v>郵資</v>
      </c>
      <c r="D254" s="4" t="str">
        <f t="shared" si="14"/>
        <v>本會</v>
      </c>
      <c r="E254" s="4" t="str">
        <f t="shared" si="13"/>
        <v>借</v>
      </c>
      <c r="F254" s="12">
        <f>100</f>
        <v>100</v>
      </c>
      <c r="G254" s="12"/>
      <c r="H254" s="12">
        <f>18934</f>
        <v>18934</v>
      </c>
    </row>
    <row r="255" spans="1:8" ht="15">
      <c r="A255" s="4" t="str">
        <f>"98-03-20"</f>
        <v>98-03-20</v>
      </c>
      <c r="B255" s="4" t="str">
        <f>"VH83200001"</f>
        <v>VH83200001</v>
      </c>
      <c r="C255" s="4" t="str">
        <f>"郵資"</f>
        <v>郵資</v>
      </c>
      <c r="D255" s="4" t="str">
        <f t="shared" si="14"/>
        <v>本會</v>
      </c>
      <c r="E255" s="4" t="str">
        <f t="shared" si="13"/>
        <v>借</v>
      </c>
      <c r="F255" s="12">
        <f>346</f>
        <v>346</v>
      </c>
      <c r="G255" s="12"/>
      <c r="H255" s="12">
        <f>19280</f>
        <v>19280</v>
      </c>
    </row>
    <row r="256" spans="1:8" ht="15">
      <c r="A256" s="4" t="str">
        <f>"98-03-20"</f>
        <v>98-03-20</v>
      </c>
      <c r="B256" s="4" t="str">
        <f>"VH83200001"</f>
        <v>VH83200001</v>
      </c>
      <c r="C256" s="4" t="str">
        <f>"3月電話費"</f>
        <v>3月電話費</v>
      </c>
      <c r="D256" s="4" t="str">
        <f t="shared" si="14"/>
        <v>本會</v>
      </c>
      <c r="E256" s="4" t="str">
        <f t="shared" si="13"/>
        <v>借</v>
      </c>
      <c r="F256" s="12">
        <f>5875</f>
        <v>5875</v>
      </c>
      <c r="G256" s="12"/>
      <c r="H256" s="12">
        <f>25155</f>
        <v>25155</v>
      </c>
    </row>
    <row r="257" spans="1:8" ht="15">
      <c r="A257" s="4" t="str">
        <f>"98-03-20"</f>
        <v>98-03-20</v>
      </c>
      <c r="B257" s="4" t="str">
        <f>"VH83200001"</f>
        <v>VH83200001</v>
      </c>
      <c r="C257" s="4" t="str">
        <f>"郵資"</f>
        <v>郵資</v>
      </c>
      <c r="D257" s="4" t="str">
        <f t="shared" si="14"/>
        <v>本會</v>
      </c>
      <c r="E257" s="4" t="str">
        <f t="shared" si="13"/>
        <v>借</v>
      </c>
      <c r="F257" s="12">
        <f>315</f>
        <v>315</v>
      </c>
      <c r="G257" s="12"/>
      <c r="H257" s="12">
        <f>25470</f>
        <v>25470</v>
      </c>
    </row>
    <row r="258" spans="1:8" ht="15">
      <c r="A258" s="4" t="str">
        <f>"98-03-20"</f>
        <v>98-03-20</v>
      </c>
      <c r="B258" s="4" t="str">
        <f>"VH83200001"</f>
        <v>VH83200001</v>
      </c>
      <c r="C258" s="4" t="str">
        <f>"便利箱"</f>
        <v>便利箱</v>
      </c>
      <c r="D258" s="4" t="str">
        <f t="shared" si="14"/>
        <v>本會</v>
      </c>
      <c r="E258" s="4" t="str">
        <f t="shared" si="13"/>
        <v>借</v>
      </c>
      <c r="F258" s="12">
        <f>175</f>
        <v>175</v>
      </c>
      <c r="G258" s="12"/>
      <c r="H258" s="12">
        <f>25645</f>
        <v>25645</v>
      </c>
    </row>
    <row r="259" spans="1:8" ht="15">
      <c r="A259" s="4" t="str">
        <f>"98-03-20"</f>
        <v>98-03-20</v>
      </c>
      <c r="B259" s="4" t="str">
        <f>"VH83200001"</f>
        <v>VH83200001</v>
      </c>
      <c r="C259" s="4" t="str">
        <f>"多提"</f>
        <v>多提</v>
      </c>
      <c r="D259" s="4" t="str">
        <f t="shared" si="14"/>
        <v>本會</v>
      </c>
      <c r="E259" s="4" t="str">
        <f t="shared" si="13"/>
        <v>借</v>
      </c>
      <c r="F259" s="12"/>
      <c r="G259" s="12">
        <f>100</f>
        <v>100</v>
      </c>
      <c r="H259" s="12">
        <f>25545</f>
        <v>25545</v>
      </c>
    </row>
    <row r="260" spans="1:8" ht="15">
      <c r="A260" s="4">
        <f>""</f>
      </c>
      <c r="B260" s="4" t="str">
        <f>"月小計"</f>
        <v>月小計</v>
      </c>
      <c r="C260" s="4">
        <f>""</f>
      </c>
      <c r="D260" s="4">
        <f>""</f>
      </c>
      <c r="E260" s="4" t="str">
        <f t="shared" si="13"/>
        <v>借</v>
      </c>
      <c r="F260" s="12">
        <f>7811</f>
        <v>7811</v>
      </c>
      <c r="G260" s="12">
        <f>100</f>
        <v>100</v>
      </c>
      <c r="H260" s="12">
        <f>25545</f>
        <v>25545</v>
      </c>
    </row>
    <row r="261" spans="1:8" ht="15">
      <c r="A261" s="4" t="str">
        <f>"98-04-28"</f>
        <v>98-04-28</v>
      </c>
      <c r="B261" s="4" t="str">
        <f>"VH84280001"</f>
        <v>VH84280001</v>
      </c>
      <c r="C261" s="4" t="str">
        <f>"便利袋"</f>
        <v>便利袋</v>
      </c>
      <c r="D261" s="4" t="str">
        <f>"本會"</f>
        <v>本會</v>
      </c>
      <c r="E261" s="4" t="str">
        <f t="shared" si="13"/>
        <v>借</v>
      </c>
      <c r="F261" s="12">
        <f>220</f>
        <v>220</v>
      </c>
      <c r="G261" s="12"/>
      <c r="H261" s="12">
        <f>25765</f>
        <v>25765</v>
      </c>
    </row>
    <row r="262" spans="1:8" ht="15">
      <c r="A262" s="4" t="str">
        <f>"98-04-28"</f>
        <v>98-04-28</v>
      </c>
      <c r="B262" s="4" t="str">
        <f>"VH84280001"</f>
        <v>VH84280001</v>
      </c>
      <c r="C262" s="4" t="str">
        <f>"4月電話費"</f>
        <v>4月電話費</v>
      </c>
      <c r="D262" s="4" t="str">
        <f>"本會"</f>
        <v>本會</v>
      </c>
      <c r="E262" s="4" t="str">
        <f t="shared" si="13"/>
        <v>借</v>
      </c>
      <c r="F262" s="12">
        <f>2946</f>
        <v>2946</v>
      </c>
      <c r="G262" s="12"/>
      <c r="H262" s="12">
        <f>28711</f>
        <v>28711</v>
      </c>
    </row>
    <row r="263" spans="1:8" ht="15">
      <c r="A263" s="4" t="str">
        <f>"98-04-28"</f>
        <v>98-04-28</v>
      </c>
      <c r="B263" s="4" t="str">
        <f>"VH84280001"</f>
        <v>VH84280001</v>
      </c>
      <c r="C263" s="4" t="str">
        <f>"4月電話費"</f>
        <v>4月電話費</v>
      </c>
      <c r="D263" s="4" t="str">
        <f>"本會"</f>
        <v>本會</v>
      </c>
      <c r="E263" s="4" t="str">
        <f t="shared" si="13"/>
        <v>借</v>
      </c>
      <c r="F263" s="12">
        <f>1943</f>
        <v>1943</v>
      </c>
      <c r="G263" s="12"/>
      <c r="H263" s="12">
        <f>30654</f>
        <v>30654</v>
      </c>
    </row>
    <row r="264" spans="1:8" ht="15">
      <c r="A264" s="4">
        <f>""</f>
      </c>
      <c r="B264" s="4" t="str">
        <f>"月小計"</f>
        <v>月小計</v>
      </c>
      <c r="C264" s="4">
        <f>""</f>
      </c>
      <c r="D264" s="4">
        <f>""</f>
      </c>
      <c r="E264" s="4" t="str">
        <f t="shared" si="13"/>
        <v>借</v>
      </c>
      <c r="F264" s="12">
        <f>5109</f>
        <v>5109</v>
      </c>
      <c r="G264" s="12"/>
      <c r="H264" s="12">
        <f>30654</f>
        <v>30654</v>
      </c>
    </row>
    <row r="265" spans="1:8" ht="15">
      <c r="A265" s="4" t="str">
        <f>"98-05-21"</f>
        <v>98-05-21</v>
      </c>
      <c r="B265" s="4" t="str">
        <f>"VH85210001"</f>
        <v>VH85210001</v>
      </c>
      <c r="C265" s="4" t="str">
        <f>"5月電話費"</f>
        <v>5月電話費</v>
      </c>
      <c r="D265" s="4" t="str">
        <f>"本會"</f>
        <v>本會</v>
      </c>
      <c r="E265" s="4" t="str">
        <f t="shared" si="13"/>
        <v>借</v>
      </c>
      <c r="F265" s="12">
        <f>2222</f>
        <v>2222</v>
      </c>
      <c r="G265" s="12"/>
      <c r="H265" s="12">
        <f>32876</f>
        <v>32876</v>
      </c>
    </row>
    <row r="266" spans="1:8" ht="15">
      <c r="A266" s="4" t="str">
        <f>"98-05-21"</f>
        <v>98-05-21</v>
      </c>
      <c r="B266" s="4" t="str">
        <f>"VH85210001"</f>
        <v>VH85210001</v>
      </c>
      <c r="C266" s="4" t="str">
        <f>"5月電話費"</f>
        <v>5月電話費</v>
      </c>
      <c r="D266" s="4" t="str">
        <f>"本會"</f>
        <v>本會</v>
      </c>
      <c r="E266" s="4" t="str">
        <f t="shared" si="13"/>
        <v>借</v>
      </c>
      <c r="F266" s="12">
        <f>1051</f>
        <v>1051</v>
      </c>
      <c r="G266" s="12"/>
      <c r="H266" s="12">
        <f>33927</f>
        <v>33927</v>
      </c>
    </row>
    <row r="267" spans="1:8" ht="15">
      <c r="A267" s="4" t="str">
        <f>"98-05-26"</f>
        <v>98-05-26</v>
      </c>
      <c r="B267" s="4" t="str">
        <f>"VH85260002"</f>
        <v>VH85260002</v>
      </c>
      <c r="C267" s="4" t="str">
        <f>"郵資"</f>
        <v>郵資</v>
      </c>
      <c r="D267" s="4" t="str">
        <f>"本會"</f>
        <v>本會</v>
      </c>
      <c r="E267" s="4" t="str">
        <f t="shared" si="13"/>
        <v>借</v>
      </c>
      <c r="F267" s="12">
        <f>501</f>
        <v>501</v>
      </c>
      <c r="G267" s="12"/>
      <c r="H267" s="12">
        <f>34428</f>
        <v>34428</v>
      </c>
    </row>
    <row r="268" spans="1:8" ht="15">
      <c r="A268" s="4">
        <f>""</f>
      </c>
      <c r="B268" s="4" t="str">
        <f>"月小計"</f>
        <v>月小計</v>
      </c>
      <c r="C268" s="4">
        <f>""</f>
      </c>
      <c r="D268" s="4">
        <f>""</f>
      </c>
      <c r="E268" s="4" t="str">
        <f t="shared" si="13"/>
        <v>借</v>
      </c>
      <c r="F268" s="12">
        <f>3774</f>
        <v>3774</v>
      </c>
      <c r="G268" s="12"/>
      <c r="H268" s="12">
        <f>34428</f>
        <v>34428</v>
      </c>
    </row>
    <row r="269" spans="1:8" ht="15">
      <c r="A269" s="4" t="str">
        <f>"98-06-19"</f>
        <v>98-06-19</v>
      </c>
      <c r="B269" s="4" t="str">
        <f>"VH86190001"</f>
        <v>VH86190001</v>
      </c>
      <c r="C269" s="4" t="str">
        <f>"郵資"</f>
        <v>郵資</v>
      </c>
      <c r="D269" s="4" t="str">
        <f aca="true" t="shared" si="15" ref="D269:D274">"本會"</f>
        <v>本會</v>
      </c>
      <c r="E269" s="4" t="str">
        <f t="shared" si="13"/>
        <v>借</v>
      </c>
      <c r="F269" s="12">
        <f>2325</f>
        <v>2325</v>
      </c>
      <c r="G269" s="12"/>
      <c r="H269" s="12">
        <f>36753</f>
        <v>36753</v>
      </c>
    </row>
    <row r="270" spans="1:8" ht="15">
      <c r="A270" s="4" t="str">
        <f>"98-06-19"</f>
        <v>98-06-19</v>
      </c>
      <c r="B270" s="4" t="str">
        <f>"VH86190001"</f>
        <v>VH86190001</v>
      </c>
      <c r="C270" s="4" t="str">
        <f>"便利箱"</f>
        <v>便利箱</v>
      </c>
      <c r="D270" s="4" t="str">
        <f t="shared" si="15"/>
        <v>本會</v>
      </c>
      <c r="E270" s="4" t="str">
        <f t="shared" si="13"/>
        <v>借</v>
      </c>
      <c r="F270" s="12">
        <f>100</f>
        <v>100</v>
      </c>
      <c r="G270" s="12"/>
      <c r="H270" s="12">
        <f>36853</f>
        <v>36853</v>
      </c>
    </row>
    <row r="271" spans="1:8" ht="15">
      <c r="A271" s="4" t="str">
        <f>"98-06-26"</f>
        <v>98-06-26</v>
      </c>
      <c r="B271" s="4" t="str">
        <f>"VH86260001"</f>
        <v>VH86260001</v>
      </c>
      <c r="C271" s="4" t="str">
        <f>"郵資"</f>
        <v>郵資</v>
      </c>
      <c r="D271" s="4" t="str">
        <f t="shared" si="15"/>
        <v>本會</v>
      </c>
      <c r="E271" s="4" t="str">
        <f t="shared" si="13"/>
        <v>借</v>
      </c>
      <c r="F271" s="12">
        <f>990</f>
        <v>990</v>
      </c>
      <c r="G271" s="12"/>
      <c r="H271" s="12">
        <f>37843</f>
        <v>37843</v>
      </c>
    </row>
    <row r="272" spans="1:8" ht="15">
      <c r="A272" s="4" t="str">
        <f>"98-06-26"</f>
        <v>98-06-26</v>
      </c>
      <c r="B272" s="4" t="str">
        <f>"VH86260001"</f>
        <v>VH86260001</v>
      </c>
      <c r="C272" s="4" t="str">
        <f>"6月電話費"</f>
        <v>6月電話費</v>
      </c>
      <c r="D272" s="4" t="str">
        <f t="shared" si="15"/>
        <v>本會</v>
      </c>
      <c r="E272" s="4" t="str">
        <f t="shared" si="13"/>
        <v>借</v>
      </c>
      <c r="F272" s="12">
        <f>2285</f>
        <v>2285</v>
      </c>
      <c r="G272" s="12"/>
      <c r="H272" s="12">
        <f>40128</f>
        <v>40128</v>
      </c>
    </row>
    <row r="273" spans="1:8" ht="15">
      <c r="A273" s="4" t="str">
        <f>"98-06-26"</f>
        <v>98-06-26</v>
      </c>
      <c r="B273" s="4" t="str">
        <f>"VH86260001"</f>
        <v>VH86260001</v>
      </c>
      <c r="C273" s="4" t="str">
        <f>"6月電話費"</f>
        <v>6月電話費</v>
      </c>
      <c r="D273" s="4" t="str">
        <f t="shared" si="15"/>
        <v>本會</v>
      </c>
      <c r="E273" s="4" t="str">
        <f t="shared" si="13"/>
        <v>借</v>
      </c>
      <c r="F273" s="12">
        <f>1104</f>
        <v>1104</v>
      </c>
      <c r="G273" s="12"/>
      <c r="H273" s="12">
        <f>41232</f>
        <v>41232</v>
      </c>
    </row>
    <row r="274" spans="1:8" ht="15">
      <c r="A274" s="4" t="str">
        <f>"98-06-30"</f>
        <v>98-06-30</v>
      </c>
      <c r="B274" s="4" t="str">
        <f>"VH86300001"</f>
        <v>VH86300001</v>
      </c>
      <c r="C274" s="4" t="str">
        <f>"郵資"</f>
        <v>郵資</v>
      </c>
      <c r="D274" s="4" t="str">
        <f t="shared" si="15"/>
        <v>本會</v>
      </c>
      <c r="E274" s="4" t="str">
        <f t="shared" si="13"/>
        <v>借</v>
      </c>
      <c r="F274" s="12">
        <f>7520</f>
        <v>7520</v>
      </c>
      <c r="G274" s="12"/>
      <c r="H274" s="12">
        <f>48752</f>
        <v>48752</v>
      </c>
    </row>
    <row r="275" spans="1:8" ht="15">
      <c r="A275" s="4">
        <f>""</f>
      </c>
      <c r="B275" s="4" t="str">
        <f>"月小計"</f>
        <v>月小計</v>
      </c>
      <c r="C275" s="4">
        <f>""</f>
      </c>
      <c r="D275" s="4">
        <f>""</f>
      </c>
      <c r="E275" s="4" t="str">
        <f t="shared" si="13"/>
        <v>借</v>
      </c>
      <c r="F275" s="12">
        <f>14324</f>
        <v>14324</v>
      </c>
      <c r="G275" s="12"/>
      <c r="H275" s="12">
        <f>48752</f>
        <v>48752</v>
      </c>
    </row>
    <row r="276" spans="1:8" ht="15">
      <c r="A276" s="4" t="str">
        <f>"98-07-23"</f>
        <v>98-07-23</v>
      </c>
      <c r="B276" s="4" t="str">
        <f>"VH87230001"</f>
        <v>VH87230001</v>
      </c>
      <c r="C276" s="4" t="str">
        <f>"匯費"</f>
        <v>匯費</v>
      </c>
      <c r="D276" s="4" t="str">
        <f>"本會"</f>
        <v>本會</v>
      </c>
      <c r="E276" s="4" t="str">
        <f aca="true" t="shared" si="16" ref="E276:E299">"借"</f>
        <v>借</v>
      </c>
      <c r="F276" s="12">
        <f>30</f>
        <v>30</v>
      </c>
      <c r="G276" s="12"/>
      <c r="H276" s="12">
        <f>48782</f>
        <v>48782</v>
      </c>
    </row>
    <row r="277" spans="1:8" ht="15">
      <c r="A277" s="4" t="str">
        <f>"98-07-23"</f>
        <v>98-07-23</v>
      </c>
      <c r="B277" s="4" t="str">
        <f>"VH87230001"</f>
        <v>VH87230001</v>
      </c>
      <c r="C277" s="4" t="str">
        <f>"7月電話費"</f>
        <v>7月電話費</v>
      </c>
      <c r="D277" s="4" t="str">
        <f>"本會"</f>
        <v>本會</v>
      </c>
      <c r="E277" s="4" t="str">
        <f t="shared" si="16"/>
        <v>借</v>
      </c>
      <c r="F277" s="12">
        <f>3991</f>
        <v>3991</v>
      </c>
      <c r="G277" s="12"/>
      <c r="H277" s="12">
        <f>52773</f>
        <v>52773</v>
      </c>
    </row>
    <row r="278" spans="1:8" ht="15">
      <c r="A278" s="4">
        <f>""</f>
      </c>
      <c r="B278" s="4" t="str">
        <f>"月小計"</f>
        <v>月小計</v>
      </c>
      <c r="C278" s="4">
        <f>""</f>
      </c>
      <c r="D278" s="4">
        <f>""</f>
      </c>
      <c r="E278" s="4" t="str">
        <f t="shared" si="16"/>
        <v>借</v>
      </c>
      <c r="F278" s="12">
        <f>4021</f>
        <v>4021</v>
      </c>
      <c r="G278" s="12"/>
      <c r="H278" s="12">
        <f>52773</f>
        <v>52773</v>
      </c>
    </row>
    <row r="279" spans="1:8" ht="15">
      <c r="A279" s="4" t="str">
        <f>"98-09-01"</f>
        <v>98-09-01</v>
      </c>
      <c r="B279" s="4" t="str">
        <f>"VH89010001"</f>
        <v>VH89010001</v>
      </c>
      <c r="C279" s="4" t="str">
        <f>"8月電話費"</f>
        <v>8月電話費</v>
      </c>
      <c r="D279" s="4" t="str">
        <f>"本會"</f>
        <v>本會</v>
      </c>
      <c r="E279" s="4" t="str">
        <f t="shared" si="16"/>
        <v>借</v>
      </c>
      <c r="F279" s="12">
        <f>1921</f>
        <v>1921</v>
      </c>
      <c r="G279" s="12"/>
      <c r="H279" s="12">
        <f>54694</f>
        <v>54694</v>
      </c>
    </row>
    <row r="280" spans="1:8" ht="15">
      <c r="A280" s="4" t="str">
        <f>"98-09-01"</f>
        <v>98-09-01</v>
      </c>
      <c r="B280" s="4" t="str">
        <f>"VH89010001"</f>
        <v>VH89010001</v>
      </c>
      <c r="C280" s="4" t="str">
        <f>"郵資"</f>
        <v>郵資</v>
      </c>
      <c r="D280" s="4" t="str">
        <f>"本會"</f>
        <v>本會</v>
      </c>
      <c r="E280" s="4" t="str">
        <f t="shared" si="16"/>
        <v>借</v>
      </c>
      <c r="F280" s="12">
        <f>1782</f>
        <v>1782</v>
      </c>
      <c r="G280" s="12"/>
      <c r="H280" s="12">
        <f>56476</f>
        <v>56476</v>
      </c>
    </row>
    <row r="281" spans="1:8" ht="15">
      <c r="A281" s="4" t="str">
        <f>"98-09-15"</f>
        <v>98-09-15</v>
      </c>
      <c r="B281" s="4" t="str">
        <f>"VH89150001"</f>
        <v>VH89150001</v>
      </c>
      <c r="C281" s="4" t="str">
        <f>"郵資.匯費"</f>
        <v>郵資.匯費</v>
      </c>
      <c r="D281" s="4" t="str">
        <f>"本會"</f>
        <v>本會</v>
      </c>
      <c r="E281" s="4" t="str">
        <f t="shared" si="16"/>
        <v>借</v>
      </c>
      <c r="F281" s="12">
        <f>950</f>
        <v>950</v>
      </c>
      <c r="G281" s="12"/>
      <c r="H281" s="12">
        <f>57426</f>
        <v>57426</v>
      </c>
    </row>
    <row r="282" spans="1:8" ht="15">
      <c r="A282" s="4" t="str">
        <f>"98-09-28"</f>
        <v>98-09-28</v>
      </c>
      <c r="B282" s="4" t="str">
        <f>"VH89280001"</f>
        <v>VH89280001</v>
      </c>
      <c r="C282" s="4" t="str">
        <f>"匯費.9月電話費"</f>
        <v>匯費.9月電話費</v>
      </c>
      <c r="D282" s="4" t="str">
        <f>"本會"</f>
        <v>本會</v>
      </c>
      <c r="E282" s="4" t="str">
        <f t="shared" si="16"/>
        <v>借</v>
      </c>
      <c r="F282" s="12">
        <f>1864</f>
        <v>1864</v>
      </c>
      <c r="G282" s="12"/>
      <c r="H282" s="12">
        <f>59290</f>
        <v>59290</v>
      </c>
    </row>
    <row r="283" spans="1:8" ht="15">
      <c r="A283" s="4" t="str">
        <f>"98-09-30"</f>
        <v>98-09-30</v>
      </c>
      <c r="B283" s="4" t="str">
        <f>"VH89300001"</f>
        <v>VH89300001</v>
      </c>
      <c r="C283" s="4" t="str">
        <f>"匯費"</f>
        <v>匯費</v>
      </c>
      <c r="D283" s="4" t="str">
        <f>"本會"</f>
        <v>本會</v>
      </c>
      <c r="E283" s="4" t="str">
        <f t="shared" si="16"/>
        <v>借</v>
      </c>
      <c r="F283" s="12">
        <f>30</f>
        <v>30</v>
      </c>
      <c r="G283" s="12"/>
      <c r="H283" s="12">
        <f>59320</f>
        <v>59320</v>
      </c>
    </row>
    <row r="284" spans="1:8" ht="15">
      <c r="A284" s="4">
        <f>""</f>
      </c>
      <c r="B284" s="4" t="str">
        <f>"月小計"</f>
        <v>月小計</v>
      </c>
      <c r="C284" s="4">
        <f>""</f>
      </c>
      <c r="D284" s="4">
        <f>""</f>
      </c>
      <c r="E284" s="4" t="str">
        <f t="shared" si="16"/>
        <v>借</v>
      </c>
      <c r="F284" s="12">
        <f>6547</f>
        <v>6547</v>
      </c>
      <c r="G284" s="12"/>
      <c r="H284" s="12">
        <f>59320</f>
        <v>59320</v>
      </c>
    </row>
    <row r="285" spans="1:8" ht="15">
      <c r="A285" s="4" t="str">
        <f>"98-10-13"</f>
        <v>98-10-13</v>
      </c>
      <c r="B285" s="4" t="str">
        <f>"VH8A130001"</f>
        <v>VH8A130001</v>
      </c>
      <c r="C285" s="4" t="str">
        <f>"郵資"</f>
        <v>郵資</v>
      </c>
      <c r="D285" s="4" t="str">
        <f>"本會"</f>
        <v>本會</v>
      </c>
      <c r="E285" s="4" t="str">
        <f t="shared" si="16"/>
        <v>借</v>
      </c>
      <c r="F285" s="12">
        <f>5548</f>
        <v>5548</v>
      </c>
      <c r="G285" s="12"/>
      <c r="H285" s="12">
        <f>64868</f>
        <v>64868</v>
      </c>
    </row>
    <row r="286" spans="1:8" ht="15">
      <c r="A286" s="4" t="str">
        <f>"98-10-30"</f>
        <v>98-10-30</v>
      </c>
      <c r="B286" s="4" t="str">
        <f>"VH8A300002"</f>
        <v>VH8A300002</v>
      </c>
      <c r="C286" s="4" t="str">
        <f>"郵資"</f>
        <v>郵資</v>
      </c>
      <c r="D286" s="4" t="str">
        <f>"本會"</f>
        <v>本會</v>
      </c>
      <c r="E286" s="4" t="str">
        <f t="shared" si="16"/>
        <v>借</v>
      </c>
      <c r="F286" s="12">
        <f>544</f>
        <v>544</v>
      </c>
      <c r="G286" s="12"/>
      <c r="H286" s="12">
        <f>65412</f>
        <v>65412</v>
      </c>
    </row>
    <row r="287" spans="1:8" ht="15">
      <c r="A287" s="4">
        <f>""</f>
      </c>
      <c r="B287" s="4" t="str">
        <f>"月小計"</f>
        <v>月小計</v>
      </c>
      <c r="C287" s="4">
        <f>""</f>
      </c>
      <c r="D287" s="4">
        <f>""</f>
      </c>
      <c r="E287" s="4" t="str">
        <f t="shared" si="16"/>
        <v>借</v>
      </c>
      <c r="F287" s="12">
        <f>6092</f>
        <v>6092</v>
      </c>
      <c r="G287" s="12"/>
      <c r="H287" s="12">
        <f>65412</f>
        <v>65412</v>
      </c>
    </row>
    <row r="288" spans="1:8" ht="15">
      <c r="A288" s="4" t="str">
        <f>"98-11-11"</f>
        <v>98-11-11</v>
      </c>
      <c r="B288" s="4" t="str">
        <f>"VH8B110004"</f>
        <v>VH8B110004</v>
      </c>
      <c r="C288" s="4" t="str">
        <f>"便利袋"</f>
        <v>便利袋</v>
      </c>
      <c r="D288" s="4" t="str">
        <f>"本會"</f>
        <v>本會</v>
      </c>
      <c r="E288" s="4" t="str">
        <f t="shared" si="16"/>
        <v>借</v>
      </c>
      <c r="F288" s="12">
        <f>700</f>
        <v>700</v>
      </c>
      <c r="G288" s="12"/>
      <c r="H288" s="12">
        <f>66112</f>
        <v>66112</v>
      </c>
    </row>
    <row r="289" spans="1:8" ht="15">
      <c r="A289" s="4" t="str">
        <f>"98-11-11"</f>
        <v>98-11-11</v>
      </c>
      <c r="B289" s="4" t="str">
        <f>"VH8B110004"</f>
        <v>VH8B110004</v>
      </c>
      <c r="C289" s="4" t="str">
        <f>"10月電話費"</f>
        <v>10月電話費</v>
      </c>
      <c r="D289" s="4" t="str">
        <f>"本會"</f>
        <v>本會</v>
      </c>
      <c r="E289" s="4" t="str">
        <f t="shared" si="16"/>
        <v>借</v>
      </c>
      <c r="F289" s="12">
        <f>1049</f>
        <v>1049</v>
      </c>
      <c r="G289" s="12"/>
      <c r="H289" s="12">
        <f>67161</f>
        <v>67161</v>
      </c>
    </row>
    <row r="290" spans="1:8" ht="15">
      <c r="A290" s="4" t="str">
        <f>"98-11-25"</f>
        <v>98-11-25</v>
      </c>
      <c r="B290" s="4" t="str">
        <f>"VH8B250001"</f>
        <v>VH8B250001</v>
      </c>
      <c r="C290" s="4" t="str">
        <f>"11月電話費"</f>
        <v>11月電話費</v>
      </c>
      <c r="D290" s="4" t="str">
        <f>"本會"</f>
        <v>本會</v>
      </c>
      <c r="E290" s="4" t="str">
        <f t="shared" si="16"/>
        <v>借</v>
      </c>
      <c r="F290" s="12">
        <f>1222</f>
        <v>1222</v>
      </c>
      <c r="G290" s="12"/>
      <c r="H290" s="12">
        <f>68383</f>
        <v>68383</v>
      </c>
    </row>
    <row r="291" spans="1:8" ht="15">
      <c r="A291" s="4" t="str">
        <f>"98-11-25"</f>
        <v>98-11-25</v>
      </c>
      <c r="B291" s="4" t="str">
        <f>"VH8B250001"</f>
        <v>VH8B250001</v>
      </c>
      <c r="C291" s="4" t="str">
        <f>"11月電話費"</f>
        <v>11月電話費</v>
      </c>
      <c r="D291" s="4" t="str">
        <f>"本會"</f>
        <v>本會</v>
      </c>
      <c r="E291" s="4" t="str">
        <f t="shared" si="16"/>
        <v>借</v>
      </c>
      <c r="F291" s="12">
        <f>1052</f>
        <v>1052</v>
      </c>
      <c r="G291" s="12"/>
      <c r="H291" s="12">
        <f>69435</f>
        <v>69435</v>
      </c>
    </row>
    <row r="292" spans="1:8" ht="15">
      <c r="A292" s="4" t="str">
        <f>"98-11-25"</f>
        <v>98-11-25</v>
      </c>
      <c r="B292" s="4" t="str">
        <f>"VH8B250001"</f>
        <v>VH8B250001</v>
      </c>
      <c r="C292" s="4" t="str">
        <f>"便利帶"</f>
        <v>便利帶</v>
      </c>
      <c r="D292" s="4" t="str">
        <f>"本會"</f>
        <v>本會</v>
      </c>
      <c r="E292" s="4" t="str">
        <f t="shared" si="16"/>
        <v>借</v>
      </c>
      <c r="F292" s="12">
        <f>550</f>
        <v>550</v>
      </c>
      <c r="G292" s="12"/>
      <c r="H292" s="12">
        <f>69985</f>
        <v>69985</v>
      </c>
    </row>
    <row r="293" spans="1:8" ht="15">
      <c r="A293" s="4">
        <f>""</f>
      </c>
      <c r="B293" s="4" t="str">
        <f>"月小計"</f>
        <v>月小計</v>
      </c>
      <c r="C293" s="4">
        <f>""</f>
      </c>
      <c r="D293" s="4">
        <f>""</f>
      </c>
      <c r="E293" s="4" t="str">
        <f t="shared" si="16"/>
        <v>借</v>
      </c>
      <c r="F293" s="12">
        <f>4573</f>
        <v>4573</v>
      </c>
      <c r="G293" s="12"/>
      <c r="H293" s="12">
        <f>69985</f>
        <v>69985</v>
      </c>
    </row>
    <row r="294" spans="1:8" ht="15">
      <c r="A294" s="4" t="str">
        <f>"98-12-11"</f>
        <v>98-12-11</v>
      </c>
      <c r="B294" s="4" t="str">
        <f>"VH8C110001"</f>
        <v>VH8C110001</v>
      </c>
      <c r="C294" s="4" t="str">
        <f>"郵資"</f>
        <v>郵資</v>
      </c>
      <c r="D294" s="4" t="str">
        <f>"本會"</f>
        <v>本會</v>
      </c>
      <c r="E294" s="4" t="str">
        <f t="shared" si="16"/>
        <v>借</v>
      </c>
      <c r="F294" s="12">
        <f>1149</f>
        <v>1149</v>
      </c>
      <c r="G294" s="12"/>
      <c r="H294" s="12">
        <f>71134</f>
        <v>71134</v>
      </c>
    </row>
    <row r="295" spans="1:8" ht="15">
      <c r="A295" s="4" t="str">
        <f>"98-12-11"</f>
        <v>98-12-11</v>
      </c>
      <c r="B295" s="4" t="str">
        <f>"VH8C110001"</f>
        <v>VH8C110001</v>
      </c>
      <c r="C295" s="4" t="str">
        <f>"郵資"</f>
        <v>郵資</v>
      </c>
      <c r="D295" s="4" t="str">
        <f>"本會"</f>
        <v>本會</v>
      </c>
      <c r="E295" s="4" t="str">
        <f t="shared" si="16"/>
        <v>借</v>
      </c>
      <c r="F295" s="12">
        <f>800</f>
        <v>800</v>
      </c>
      <c r="G295" s="12"/>
      <c r="H295" s="12">
        <f>71934</f>
        <v>71934</v>
      </c>
    </row>
    <row r="296" spans="1:8" ht="15">
      <c r="A296" s="4" t="str">
        <f>"98-12-29"</f>
        <v>98-12-29</v>
      </c>
      <c r="B296" s="4" t="str">
        <f>"VH8C290001"</f>
        <v>VH8C290001</v>
      </c>
      <c r="C296" s="4" t="str">
        <f>"10月電話費"</f>
        <v>10月電話費</v>
      </c>
      <c r="D296" s="4" t="str">
        <f>"本會"</f>
        <v>本會</v>
      </c>
      <c r="E296" s="4" t="str">
        <f t="shared" si="16"/>
        <v>借</v>
      </c>
      <c r="F296" s="12">
        <f>1055</f>
        <v>1055</v>
      </c>
      <c r="G296" s="12"/>
      <c r="H296" s="12">
        <f>72989</f>
        <v>72989</v>
      </c>
    </row>
    <row r="297" spans="1:8" ht="15">
      <c r="A297" s="4" t="str">
        <f>"98-12-29"</f>
        <v>98-12-29</v>
      </c>
      <c r="B297" s="4" t="str">
        <f>"VH8C290001"</f>
        <v>VH8C290001</v>
      </c>
      <c r="C297" s="4" t="str">
        <f>"12月電話費"</f>
        <v>12月電話費</v>
      </c>
      <c r="D297" s="4" t="str">
        <f>"本會"</f>
        <v>本會</v>
      </c>
      <c r="E297" s="4" t="str">
        <f t="shared" si="16"/>
        <v>借</v>
      </c>
      <c r="F297" s="12">
        <f>2100</f>
        <v>2100</v>
      </c>
      <c r="G297" s="12"/>
      <c r="H297" s="12">
        <f>75089</f>
        <v>75089</v>
      </c>
    </row>
    <row r="298" spans="1:8" ht="15">
      <c r="A298" s="4">
        <f>""</f>
      </c>
      <c r="B298" s="4" t="str">
        <f>"月小計"</f>
        <v>月小計</v>
      </c>
      <c r="C298" s="4">
        <f>""</f>
      </c>
      <c r="D298" s="4">
        <f>""</f>
      </c>
      <c r="E298" s="4" t="str">
        <f t="shared" si="16"/>
        <v>借</v>
      </c>
      <c r="F298" s="12">
        <f>5104</f>
        <v>5104</v>
      </c>
      <c r="G298" s="12"/>
      <c r="H298" s="12">
        <f>75089</f>
        <v>75089</v>
      </c>
    </row>
    <row r="299" spans="1:9" ht="15.75">
      <c r="A299" s="4">
        <f>""</f>
      </c>
      <c r="B299" s="4" t="str">
        <f>"合    計"</f>
        <v>合    計</v>
      </c>
      <c r="C299" s="4">
        <f>""</f>
      </c>
      <c r="D299" s="4">
        <f>""</f>
      </c>
      <c r="E299" s="4" t="str">
        <f t="shared" si="16"/>
        <v>借</v>
      </c>
      <c r="F299" s="12">
        <f>75189</f>
        <v>75189</v>
      </c>
      <c r="G299" s="12">
        <f>100</f>
        <v>100</v>
      </c>
      <c r="H299" s="12">
        <f>75089</f>
        <v>75089</v>
      </c>
      <c r="I299" s="16" t="s">
        <v>40</v>
      </c>
    </row>
    <row r="300" spans="1:8" ht="15">
      <c r="A300" s="4">
        <f>""</f>
      </c>
      <c r="B300" s="4" t="str">
        <f>"承上期"</f>
        <v>承上期</v>
      </c>
      <c r="C300" s="4">
        <f>""</f>
      </c>
      <c r="D300" s="4">
        <f>""</f>
      </c>
      <c r="E300" s="4">
        <f>""</f>
      </c>
      <c r="F300" s="12"/>
      <c r="G300" s="12"/>
      <c r="H300" s="12"/>
    </row>
    <row r="301" spans="1:8" ht="15">
      <c r="A301" s="4" t="str">
        <f>"98-02-16"</f>
        <v>98-02-16</v>
      </c>
      <c r="B301" s="4" t="str">
        <f>"VH82160002"</f>
        <v>VH82160002</v>
      </c>
      <c r="C301" s="4" t="str">
        <f>"花籃"</f>
        <v>花籃</v>
      </c>
      <c r="D301" s="4" t="str">
        <f>"本會"</f>
        <v>本會</v>
      </c>
      <c r="E301" s="4" t="str">
        <f aca="true" t="shared" si="17" ref="E301:E324">"借"</f>
        <v>借</v>
      </c>
      <c r="F301" s="12">
        <f>1200</f>
        <v>1200</v>
      </c>
      <c r="G301" s="12"/>
      <c r="H301" s="12">
        <f>1200</f>
        <v>1200</v>
      </c>
    </row>
    <row r="302" spans="1:8" ht="15">
      <c r="A302" s="4">
        <f>""</f>
      </c>
      <c r="B302" s="4" t="str">
        <f>"月小計"</f>
        <v>月小計</v>
      </c>
      <c r="C302" s="4">
        <f>""</f>
      </c>
      <c r="D302" s="4">
        <f>""</f>
      </c>
      <c r="E302" s="4" t="str">
        <f t="shared" si="17"/>
        <v>借</v>
      </c>
      <c r="F302" s="12">
        <f>1200</f>
        <v>1200</v>
      </c>
      <c r="G302" s="12"/>
      <c r="H302" s="12">
        <f>1200</f>
        <v>1200</v>
      </c>
    </row>
    <row r="303" spans="1:8" ht="15">
      <c r="A303" s="4" t="str">
        <f>"98-04-28"</f>
        <v>98-04-28</v>
      </c>
      <c r="B303" s="4" t="str">
        <f>"VH84280001"</f>
        <v>VH84280001</v>
      </c>
      <c r="C303" s="4" t="str">
        <f>"花籃"</f>
        <v>花籃</v>
      </c>
      <c r="D303" s="4" t="str">
        <f>"本會"</f>
        <v>本會</v>
      </c>
      <c r="E303" s="4" t="str">
        <f t="shared" si="17"/>
        <v>借</v>
      </c>
      <c r="F303" s="12">
        <f>1200</f>
        <v>1200</v>
      </c>
      <c r="G303" s="12"/>
      <c r="H303" s="12">
        <f>2400</f>
        <v>2400</v>
      </c>
    </row>
    <row r="304" spans="1:8" ht="15">
      <c r="A304" s="4" t="str">
        <f>"98-04-28"</f>
        <v>98-04-28</v>
      </c>
      <c r="B304" s="4" t="str">
        <f>"VH84280001"</f>
        <v>VH84280001</v>
      </c>
      <c r="C304" s="4" t="str">
        <f>"花籃"</f>
        <v>花籃</v>
      </c>
      <c r="D304" s="4" t="str">
        <f>"本會"</f>
        <v>本會</v>
      </c>
      <c r="E304" s="4" t="str">
        <f t="shared" si="17"/>
        <v>借</v>
      </c>
      <c r="F304" s="12">
        <f>1500</f>
        <v>1500</v>
      </c>
      <c r="G304" s="12"/>
      <c r="H304" s="12">
        <f>3900</f>
        <v>3900</v>
      </c>
    </row>
    <row r="305" spans="1:8" ht="15">
      <c r="A305" s="4" t="str">
        <f>"98-04-28"</f>
        <v>98-04-28</v>
      </c>
      <c r="B305" s="4" t="str">
        <f>"VH84280003"</f>
        <v>VH84280003</v>
      </c>
      <c r="C305" s="4" t="str">
        <f>"花籃"</f>
        <v>花籃</v>
      </c>
      <c r="D305" s="4" t="str">
        <f>"本會"</f>
        <v>本會</v>
      </c>
      <c r="E305" s="4" t="str">
        <f t="shared" si="17"/>
        <v>借</v>
      </c>
      <c r="F305" s="12">
        <f>1500</f>
        <v>1500</v>
      </c>
      <c r="G305" s="12"/>
      <c r="H305" s="12">
        <f>5400</f>
        <v>5400</v>
      </c>
    </row>
    <row r="306" spans="1:8" ht="15">
      <c r="A306" s="4">
        <f>""</f>
      </c>
      <c r="B306" s="4" t="str">
        <f>"月小計"</f>
        <v>月小計</v>
      </c>
      <c r="C306" s="4">
        <f>""</f>
      </c>
      <c r="D306" s="4">
        <f>""</f>
      </c>
      <c r="E306" s="4" t="str">
        <f t="shared" si="17"/>
        <v>借</v>
      </c>
      <c r="F306" s="12">
        <f>4200</f>
        <v>4200</v>
      </c>
      <c r="G306" s="12"/>
      <c r="H306" s="12">
        <f>5400</f>
        <v>5400</v>
      </c>
    </row>
    <row r="307" spans="1:8" ht="15">
      <c r="A307" s="4" t="str">
        <f>"98-05-21"</f>
        <v>98-05-21</v>
      </c>
      <c r="B307" s="4" t="str">
        <f>"VH85210001"</f>
        <v>VH85210001</v>
      </c>
      <c r="C307" s="4" t="str">
        <f>"花籃"</f>
        <v>花籃</v>
      </c>
      <c r="D307" s="4" t="str">
        <f>"本會"</f>
        <v>本會</v>
      </c>
      <c r="E307" s="4" t="str">
        <f t="shared" si="17"/>
        <v>借</v>
      </c>
      <c r="F307" s="12">
        <f>2000</f>
        <v>2000</v>
      </c>
      <c r="G307" s="12"/>
      <c r="H307" s="12">
        <f>7400</f>
        <v>7400</v>
      </c>
    </row>
    <row r="308" spans="1:8" ht="15">
      <c r="A308" s="4">
        <f>""</f>
      </c>
      <c r="B308" s="4" t="str">
        <f>"月小計"</f>
        <v>月小計</v>
      </c>
      <c r="C308" s="4">
        <f>""</f>
      </c>
      <c r="D308" s="4">
        <f>""</f>
      </c>
      <c r="E308" s="4" t="str">
        <f t="shared" si="17"/>
        <v>借</v>
      </c>
      <c r="F308" s="12">
        <f>2000</f>
        <v>2000</v>
      </c>
      <c r="G308" s="12"/>
      <c r="H308" s="12">
        <f>7400</f>
        <v>7400</v>
      </c>
    </row>
    <row r="309" spans="1:8" ht="15">
      <c r="A309" s="4" t="str">
        <f>"98-06-19"</f>
        <v>98-06-19</v>
      </c>
      <c r="B309" s="4" t="str">
        <f>"VH86190001"</f>
        <v>VH86190001</v>
      </c>
      <c r="C309" s="4" t="str">
        <f>"花籃"</f>
        <v>花籃</v>
      </c>
      <c r="D309" s="4" t="str">
        <f>"本會"</f>
        <v>本會</v>
      </c>
      <c r="E309" s="4" t="str">
        <f t="shared" si="17"/>
        <v>借</v>
      </c>
      <c r="F309" s="12">
        <f>2000</f>
        <v>2000</v>
      </c>
      <c r="G309" s="12"/>
      <c r="H309" s="12">
        <f>9400</f>
        <v>9400</v>
      </c>
    </row>
    <row r="310" spans="1:8" ht="15">
      <c r="A310" s="4">
        <f>""</f>
      </c>
      <c r="B310" s="4" t="str">
        <f>"月小計"</f>
        <v>月小計</v>
      </c>
      <c r="C310" s="4">
        <f>""</f>
      </c>
      <c r="D310" s="4">
        <f>""</f>
      </c>
      <c r="E310" s="4" t="str">
        <f t="shared" si="17"/>
        <v>借</v>
      </c>
      <c r="F310" s="12">
        <f>2000</f>
        <v>2000</v>
      </c>
      <c r="G310" s="12"/>
      <c r="H310" s="12">
        <f>9400</f>
        <v>9400</v>
      </c>
    </row>
    <row r="311" spans="1:8" ht="15">
      <c r="A311" s="4" t="str">
        <f>"98-08-12"</f>
        <v>98-08-12</v>
      </c>
      <c r="B311" s="4" t="str">
        <f>"VH88120001"</f>
        <v>VH88120001</v>
      </c>
      <c r="C311" s="4" t="str">
        <f>"花籃"</f>
        <v>花籃</v>
      </c>
      <c r="D311" s="4" t="str">
        <f>"本會"</f>
        <v>本會</v>
      </c>
      <c r="E311" s="4" t="str">
        <f t="shared" si="17"/>
        <v>借</v>
      </c>
      <c r="F311" s="12">
        <f>1200</f>
        <v>1200</v>
      </c>
      <c r="G311" s="12"/>
      <c r="H311" s="12">
        <f>10600</f>
        <v>10600</v>
      </c>
    </row>
    <row r="312" spans="1:8" ht="15">
      <c r="A312" s="4">
        <f>""</f>
      </c>
      <c r="B312" s="4" t="str">
        <f>"月小計"</f>
        <v>月小計</v>
      </c>
      <c r="C312" s="4">
        <f>""</f>
      </c>
      <c r="D312" s="4">
        <f>""</f>
      </c>
      <c r="E312" s="4" t="str">
        <f t="shared" si="17"/>
        <v>借</v>
      </c>
      <c r="F312" s="12">
        <f>1200</f>
        <v>1200</v>
      </c>
      <c r="G312" s="12"/>
      <c r="H312" s="12">
        <f>10600</f>
        <v>10600</v>
      </c>
    </row>
    <row r="313" spans="1:8" ht="15">
      <c r="A313" s="4" t="str">
        <f>"98-09-15"</f>
        <v>98-09-15</v>
      </c>
      <c r="B313" s="4" t="str">
        <f>"VH89150001"</f>
        <v>VH89150001</v>
      </c>
      <c r="C313" s="4" t="str">
        <f>"花架"</f>
        <v>花架</v>
      </c>
      <c r="D313" s="4" t="str">
        <f>"本會"</f>
        <v>本會</v>
      </c>
      <c r="E313" s="4" t="str">
        <f t="shared" si="17"/>
        <v>借</v>
      </c>
      <c r="F313" s="12">
        <f>1600</f>
        <v>1600</v>
      </c>
      <c r="G313" s="12"/>
      <c r="H313" s="12">
        <f>12200</f>
        <v>12200</v>
      </c>
    </row>
    <row r="314" spans="1:8" ht="15">
      <c r="A314" s="4">
        <f>""</f>
      </c>
      <c r="B314" s="4" t="str">
        <f>"月小計"</f>
        <v>月小計</v>
      </c>
      <c r="C314" s="4">
        <f>""</f>
      </c>
      <c r="D314" s="4">
        <f>""</f>
      </c>
      <c r="E314" s="4" t="str">
        <f t="shared" si="17"/>
        <v>借</v>
      </c>
      <c r="F314" s="12">
        <f>1600</f>
        <v>1600</v>
      </c>
      <c r="G314" s="12"/>
      <c r="H314" s="12">
        <f>12200</f>
        <v>12200</v>
      </c>
    </row>
    <row r="315" spans="1:8" ht="15">
      <c r="A315" s="4" t="str">
        <f>"98-10-27"</f>
        <v>98-10-27</v>
      </c>
      <c r="B315" s="4" t="str">
        <f>"VH8A270001"</f>
        <v>VH8A270001</v>
      </c>
      <c r="C315" s="4" t="str">
        <f>"花籃"</f>
        <v>花籃</v>
      </c>
      <c r="D315" s="4" t="str">
        <f>"本會"</f>
        <v>本會</v>
      </c>
      <c r="E315" s="4" t="str">
        <f t="shared" si="17"/>
        <v>借</v>
      </c>
      <c r="F315" s="12">
        <f>1200</f>
        <v>1200</v>
      </c>
      <c r="G315" s="12"/>
      <c r="H315" s="12">
        <f>13400</f>
        <v>13400</v>
      </c>
    </row>
    <row r="316" spans="1:8" ht="15">
      <c r="A316" s="4">
        <f>""</f>
      </c>
      <c r="B316" s="4" t="str">
        <f>"月小計"</f>
        <v>月小計</v>
      </c>
      <c r="C316" s="4">
        <f>""</f>
      </c>
      <c r="D316" s="4">
        <f>""</f>
      </c>
      <c r="E316" s="4" t="str">
        <f t="shared" si="17"/>
        <v>借</v>
      </c>
      <c r="F316" s="12">
        <f>1200</f>
        <v>1200</v>
      </c>
      <c r="G316" s="12"/>
      <c r="H316" s="12">
        <f>13400</f>
        <v>13400</v>
      </c>
    </row>
    <row r="317" spans="1:8" ht="15">
      <c r="A317" s="4" t="str">
        <f>"98-11-11"</f>
        <v>98-11-11</v>
      </c>
      <c r="B317" s="4" t="str">
        <f>"VH8B110004"</f>
        <v>VH8B110004</v>
      </c>
      <c r="C317" s="4" t="str">
        <f>"花籃"</f>
        <v>花籃</v>
      </c>
      <c r="D317" s="4" t="str">
        <f>"本會"</f>
        <v>本會</v>
      </c>
      <c r="E317" s="4" t="str">
        <f t="shared" si="17"/>
        <v>借</v>
      </c>
      <c r="F317" s="12">
        <f>1200</f>
        <v>1200</v>
      </c>
      <c r="G317" s="12"/>
      <c r="H317" s="12">
        <f>14600</f>
        <v>14600</v>
      </c>
    </row>
    <row r="318" spans="1:8" ht="15">
      <c r="A318" s="4" t="str">
        <f>"98-11-11"</f>
        <v>98-11-11</v>
      </c>
      <c r="B318" s="4" t="str">
        <f>"VH8B110004"</f>
        <v>VH8B110004</v>
      </c>
      <c r="C318" s="4" t="str">
        <f>"外賓禮品"</f>
        <v>外賓禮品</v>
      </c>
      <c r="D318" s="4" t="str">
        <f>"本會"</f>
        <v>本會</v>
      </c>
      <c r="E318" s="4" t="str">
        <f t="shared" si="17"/>
        <v>借</v>
      </c>
      <c r="F318" s="12">
        <f>6400</f>
        <v>6400</v>
      </c>
      <c r="G318" s="12"/>
      <c r="H318" s="12">
        <f>21000</f>
        <v>21000</v>
      </c>
    </row>
    <row r="319" spans="1:8" ht="15">
      <c r="A319" s="4" t="str">
        <f>"98-11-11"</f>
        <v>98-11-11</v>
      </c>
      <c r="B319" s="4" t="str">
        <f>"VH8B110004"</f>
        <v>VH8B110004</v>
      </c>
      <c r="C319" s="4" t="str">
        <f>"花籃"</f>
        <v>花籃</v>
      </c>
      <c r="D319" s="4" t="str">
        <f>"本會"</f>
        <v>本會</v>
      </c>
      <c r="E319" s="4" t="str">
        <f t="shared" si="17"/>
        <v>借</v>
      </c>
      <c r="F319" s="12">
        <f>1200</f>
        <v>1200</v>
      </c>
      <c r="G319" s="12"/>
      <c r="H319" s="12">
        <f>22200</f>
        <v>22200</v>
      </c>
    </row>
    <row r="320" spans="1:8" ht="15">
      <c r="A320" s="4" t="str">
        <f>"98-11-11"</f>
        <v>98-11-11</v>
      </c>
      <c r="B320" s="4" t="str">
        <f>"VH8B110004"</f>
        <v>VH8B110004</v>
      </c>
      <c r="C320" s="4" t="str">
        <f>"花籃"</f>
        <v>花籃</v>
      </c>
      <c r="D320" s="4" t="str">
        <f>"本會"</f>
        <v>本會</v>
      </c>
      <c r="E320" s="4" t="str">
        <f t="shared" si="17"/>
        <v>借</v>
      </c>
      <c r="F320" s="12">
        <f>1500</f>
        <v>1500</v>
      </c>
      <c r="G320" s="12"/>
      <c r="H320" s="12">
        <f>23700</f>
        <v>23700</v>
      </c>
    </row>
    <row r="321" spans="1:8" ht="15">
      <c r="A321" s="4">
        <f>""</f>
      </c>
      <c r="B321" s="4" t="str">
        <f>"月小計"</f>
        <v>月小計</v>
      </c>
      <c r="C321" s="4">
        <f>""</f>
      </c>
      <c r="D321" s="4">
        <f>""</f>
      </c>
      <c r="E321" s="4" t="str">
        <f t="shared" si="17"/>
        <v>借</v>
      </c>
      <c r="F321" s="12">
        <f>10300</f>
        <v>10300</v>
      </c>
      <c r="G321" s="12"/>
      <c r="H321" s="12">
        <f>23700</f>
        <v>23700</v>
      </c>
    </row>
    <row r="322" spans="1:8" ht="15">
      <c r="A322" s="4" t="str">
        <f>"98-12-31"</f>
        <v>98-12-31</v>
      </c>
      <c r="B322" s="4" t="str">
        <f>"VH8C310001"</f>
        <v>VH8C310001</v>
      </c>
      <c r="C322" s="4" t="str">
        <f>"花籃等"</f>
        <v>花籃等</v>
      </c>
      <c r="D322" s="4" t="str">
        <f>"本會"</f>
        <v>本會</v>
      </c>
      <c r="E322" s="4" t="str">
        <f t="shared" si="17"/>
        <v>借</v>
      </c>
      <c r="F322" s="12">
        <f>6600</f>
        <v>6600</v>
      </c>
      <c r="G322" s="12"/>
      <c r="H322" s="12">
        <f>30300</f>
        <v>30300</v>
      </c>
    </row>
    <row r="323" spans="1:8" ht="15">
      <c r="A323" s="4">
        <f>""</f>
      </c>
      <c r="B323" s="4" t="str">
        <f>"月小計"</f>
        <v>月小計</v>
      </c>
      <c r="C323" s="4">
        <f>""</f>
      </c>
      <c r="D323" s="4">
        <f>""</f>
      </c>
      <c r="E323" s="4" t="str">
        <f t="shared" si="17"/>
        <v>借</v>
      </c>
      <c r="F323" s="12">
        <f>6600</f>
        <v>6600</v>
      </c>
      <c r="G323" s="12"/>
      <c r="H323" s="12">
        <f>30300</f>
        <v>30300</v>
      </c>
    </row>
    <row r="324" spans="1:9" ht="15.75">
      <c r="A324" s="4">
        <f>""</f>
      </c>
      <c r="B324" s="4" t="str">
        <f>"合    計"</f>
        <v>合    計</v>
      </c>
      <c r="C324" s="4">
        <f>""</f>
      </c>
      <c r="D324" s="4">
        <f>""</f>
      </c>
      <c r="E324" s="4" t="str">
        <f t="shared" si="17"/>
        <v>借</v>
      </c>
      <c r="F324" s="12">
        <f>30300</f>
        <v>30300</v>
      </c>
      <c r="G324" s="12"/>
      <c r="H324" s="12">
        <f>30300</f>
        <v>30300</v>
      </c>
      <c r="I324" s="16" t="s">
        <v>26</v>
      </c>
    </row>
    <row r="325" spans="1:8" ht="15">
      <c r="A325" s="4">
        <f>""</f>
      </c>
      <c r="B325" s="4" t="str">
        <f>"承上期"</f>
        <v>承上期</v>
      </c>
      <c r="C325" s="4">
        <f>""</f>
      </c>
      <c r="D325" s="4">
        <f>""</f>
      </c>
      <c r="E325" s="4">
        <f>""</f>
      </c>
      <c r="F325" s="12"/>
      <c r="G325" s="12"/>
      <c r="H325" s="12"/>
    </row>
    <row r="326" spans="1:8" ht="15">
      <c r="A326" s="4" t="str">
        <f>"98-02-03"</f>
        <v>98-02-03</v>
      </c>
      <c r="B326" s="4" t="str">
        <f>"VH82030002"</f>
        <v>VH82030002</v>
      </c>
      <c r="C326" s="4" t="str">
        <f>"辦公室費用"</f>
        <v>辦公室費用</v>
      </c>
      <c r="D326" s="4" t="str">
        <f>"本會"</f>
        <v>本會</v>
      </c>
      <c r="E326" s="4" t="str">
        <f>"借"</f>
        <v>借</v>
      </c>
      <c r="F326" s="12">
        <f>6615</f>
        <v>6615</v>
      </c>
      <c r="G326" s="12"/>
      <c r="H326" s="12">
        <f>6615</f>
        <v>6615</v>
      </c>
    </row>
    <row r="327" spans="1:8" ht="15">
      <c r="A327" s="4">
        <f>""</f>
      </c>
      <c r="B327" s="4" t="str">
        <f>"月小計"</f>
        <v>月小計</v>
      </c>
      <c r="C327" s="4">
        <f>""</f>
      </c>
      <c r="D327" s="4">
        <f>""</f>
      </c>
      <c r="E327" s="4" t="str">
        <f>"借"</f>
        <v>借</v>
      </c>
      <c r="F327" s="12">
        <f>6615</f>
        <v>6615</v>
      </c>
      <c r="G327" s="12"/>
      <c r="H327" s="12">
        <f>6615</f>
        <v>6615</v>
      </c>
    </row>
    <row r="328" spans="1:9" ht="15.75">
      <c r="A328" s="4">
        <f>""</f>
      </c>
      <c r="B328" s="4" t="str">
        <f>"合    計"</f>
        <v>合    計</v>
      </c>
      <c r="C328" s="4">
        <f>""</f>
      </c>
      <c r="D328" s="4">
        <f>""</f>
      </c>
      <c r="E328" s="4" t="str">
        <f>"借"</f>
        <v>借</v>
      </c>
      <c r="F328" s="12">
        <f>6615</f>
        <v>6615</v>
      </c>
      <c r="G328" s="12"/>
      <c r="H328" s="12">
        <f>6615</f>
        <v>6615</v>
      </c>
      <c r="I328" s="16" t="s">
        <v>27</v>
      </c>
    </row>
    <row r="329" spans="1:8" ht="15">
      <c r="A329" s="4">
        <f>""</f>
      </c>
      <c r="B329" s="4" t="str">
        <f>"承上期"</f>
        <v>承上期</v>
      </c>
      <c r="C329" s="4">
        <f>""</f>
      </c>
      <c r="D329" s="4">
        <f>""</f>
      </c>
      <c r="E329" s="4">
        <f>""</f>
      </c>
      <c r="F329" s="12"/>
      <c r="G329" s="12"/>
      <c r="H329" s="12"/>
    </row>
    <row r="330" spans="1:8" ht="15">
      <c r="A330" s="4" t="str">
        <f>"98-01-02"</f>
        <v>98-01-02</v>
      </c>
      <c r="B330" s="4" t="str">
        <f>"VH81020001"</f>
        <v>VH81020001</v>
      </c>
      <c r="C330" s="4" t="str">
        <f>"1/1-9/20網站租用費"</f>
        <v>1/1-9/20網站租用費</v>
      </c>
      <c r="D330" s="4" t="str">
        <f>"本會"</f>
        <v>本會</v>
      </c>
      <c r="E330" s="4" t="str">
        <f aca="true" t="shared" si="18" ref="E330:E346">"借"</f>
        <v>借</v>
      </c>
      <c r="F330" s="12">
        <f>21616</f>
        <v>21616</v>
      </c>
      <c r="G330" s="12"/>
      <c r="H330" s="12">
        <f>21616</f>
        <v>21616</v>
      </c>
    </row>
    <row r="331" spans="1:8" ht="15">
      <c r="A331" s="4">
        <f>""</f>
      </c>
      <c r="B331" s="4" t="str">
        <f>"月小計"</f>
        <v>月小計</v>
      </c>
      <c r="C331" s="4">
        <f>""</f>
      </c>
      <c r="D331" s="4">
        <f>""</f>
      </c>
      <c r="E331" s="4" t="str">
        <f t="shared" si="18"/>
        <v>借</v>
      </c>
      <c r="F331" s="12">
        <f>21616</f>
        <v>21616</v>
      </c>
      <c r="G331" s="12"/>
      <c r="H331" s="12">
        <f>21616</f>
        <v>21616</v>
      </c>
    </row>
    <row r="332" spans="1:8" ht="15">
      <c r="A332" s="4" t="str">
        <f>"98-03-24"</f>
        <v>98-03-24</v>
      </c>
      <c r="B332" s="4" t="str">
        <f>"VH83240002"</f>
        <v>VH83240002</v>
      </c>
      <c r="C332" s="4" t="str">
        <f>"區域網路"</f>
        <v>區域網路</v>
      </c>
      <c r="D332" s="4" t="str">
        <f>"本會"</f>
        <v>本會</v>
      </c>
      <c r="E332" s="4" t="str">
        <f t="shared" si="18"/>
        <v>借</v>
      </c>
      <c r="F332" s="12">
        <f>1700</f>
        <v>1700</v>
      </c>
      <c r="G332" s="12"/>
      <c r="H332" s="12">
        <f>23316</f>
        <v>23316</v>
      </c>
    </row>
    <row r="333" spans="1:8" ht="15">
      <c r="A333" s="4" t="str">
        <f>"98-03-24"</f>
        <v>98-03-24</v>
      </c>
      <c r="B333" s="4" t="str">
        <f>"VH83240002"</f>
        <v>VH83240002</v>
      </c>
      <c r="C333" s="4" t="str">
        <f>"網站改版"</f>
        <v>網站改版</v>
      </c>
      <c r="D333" s="4" t="str">
        <f>"本會"</f>
        <v>本會</v>
      </c>
      <c r="E333" s="4" t="str">
        <f t="shared" si="18"/>
        <v>借</v>
      </c>
      <c r="F333" s="12">
        <f>52080</f>
        <v>52080</v>
      </c>
      <c r="G333" s="12"/>
      <c r="H333" s="12">
        <f>75396</f>
        <v>75396</v>
      </c>
    </row>
    <row r="334" spans="1:8" ht="15">
      <c r="A334" s="4">
        <f>""</f>
      </c>
      <c r="B334" s="4" t="str">
        <f>"月小計"</f>
        <v>月小計</v>
      </c>
      <c r="C334" s="4">
        <f>""</f>
      </c>
      <c r="D334" s="4">
        <f>""</f>
      </c>
      <c r="E334" s="4" t="str">
        <f t="shared" si="18"/>
        <v>借</v>
      </c>
      <c r="F334" s="12">
        <f>53780</f>
        <v>53780</v>
      </c>
      <c r="G334" s="12"/>
      <c r="H334" s="12">
        <f>75396</f>
        <v>75396</v>
      </c>
    </row>
    <row r="335" spans="1:8" ht="15">
      <c r="A335" s="4" t="str">
        <f>"98-05-01"</f>
        <v>98-05-01</v>
      </c>
      <c r="B335" s="4" t="str">
        <f>"VH85010001"</f>
        <v>VH85010001</v>
      </c>
      <c r="C335" s="4" t="str">
        <f>"事務所規費"</f>
        <v>事務所規費</v>
      </c>
      <c r="D335" s="4" t="str">
        <f>"本會"</f>
        <v>本會</v>
      </c>
      <c r="E335" s="4" t="str">
        <f t="shared" si="18"/>
        <v>借</v>
      </c>
      <c r="F335" s="12">
        <f>39000</f>
        <v>39000</v>
      </c>
      <c r="G335" s="12"/>
      <c r="H335" s="12">
        <f>114396</f>
        <v>114396</v>
      </c>
    </row>
    <row r="336" spans="1:8" ht="15">
      <c r="A336" s="4">
        <f>""</f>
      </c>
      <c r="B336" s="4" t="str">
        <f>"月小計"</f>
        <v>月小計</v>
      </c>
      <c r="C336" s="4">
        <f>""</f>
      </c>
      <c r="D336" s="4">
        <f>""</f>
      </c>
      <c r="E336" s="4" t="str">
        <f t="shared" si="18"/>
        <v>借</v>
      </c>
      <c r="F336" s="12">
        <f>39000</f>
        <v>39000</v>
      </c>
      <c r="G336" s="12"/>
      <c r="H336" s="12">
        <f>114396</f>
        <v>114396</v>
      </c>
    </row>
    <row r="337" spans="1:8" ht="15">
      <c r="A337" s="4" t="str">
        <f>"98-09-15"</f>
        <v>98-09-15</v>
      </c>
      <c r="B337" s="4" t="str">
        <f>"VH89150001"</f>
        <v>VH89150001</v>
      </c>
      <c r="C337" s="4" t="str">
        <f>"區域網路租用費98/9/21-12/31"</f>
        <v>區域網路租用費98/9/21-12/31</v>
      </c>
      <c r="D337" s="4" t="str">
        <f>"本會"</f>
        <v>本會</v>
      </c>
      <c r="E337" s="4" t="str">
        <f t="shared" si="18"/>
        <v>借</v>
      </c>
      <c r="F337" s="12">
        <f>8301</f>
        <v>8301</v>
      </c>
      <c r="G337" s="12"/>
      <c r="H337" s="12">
        <f>122697</f>
        <v>122697</v>
      </c>
    </row>
    <row r="338" spans="1:8" ht="15">
      <c r="A338" s="4">
        <f>""</f>
      </c>
      <c r="B338" s="4" t="str">
        <f>"月小計"</f>
        <v>月小計</v>
      </c>
      <c r="C338" s="4">
        <f>""</f>
      </c>
      <c r="D338" s="4">
        <f>""</f>
      </c>
      <c r="E338" s="4" t="str">
        <f t="shared" si="18"/>
        <v>借</v>
      </c>
      <c r="F338" s="12">
        <f>8301</f>
        <v>8301</v>
      </c>
      <c r="G338" s="12"/>
      <c r="H338" s="12">
        <f>122697</f>
        <v>122697</v>
      </c>
    </row>
    <row r="339" spans="1:8" ht="15">
      <c r="A339" s="4" t="str">
        <f>"98-10-27"</f>
        <v>98-10-27</v>
      </c>
      <c r="B339" s="4" t="str">
        <f>"VH8A270001"</f>
        <v>VH8A270001</v>
      </c>
      <c r="C339" s="4" t="str">
        <f>"積分審查費"</f>
        <v>積分審查費</v>
      </c>
      <c r="D339" s="4" t="str">
        <f>"本會"</f>
        <v>本會</v>
      </c>
      <c r="E339" s="4" t="str">
        <f t="shared" si="18"/>
        <v>借</v>
      </c>
      <c r="F339" s="12">
        <f>800</f>
        <v>800</v>
      </c>
      <c r="G339" s="12"/>
      <c r="H339" s="12">
        <f>123497</f>
        <v>123497</v>
      </c>
    </row>
    <row r="340" spans="1:8" ht="15">
      <c r="A340" s="4" t="str">
        <f>"98-10-30"</f>
        <v>98-10-30</v>
      </c>
      <c r="B340" s="4" t="str">
        <f>"VH8A300002"</f>
        <v>VH8A300002</v>
      </c>
      <c r="C340" s="4" t="str">
        <f>"印章"</f>
        <v>印章</v>
      </c>
      <c r="D340" s="4" t="str">
        <f>"本會"</f>
        <v>本會</v>
      </c>
      <c r="E340" s="4" t="str">
        <f t="shared" si="18"/>
        <v>借</v>
      </c>
      <c r="F340" s="12">
        <f>50</f>
        <v>50</v>
      </c>
      <c r="G340" s="12"/>
      <c r="H340" s="12">
        <f>123547</f>
        <v>123547</v>
      </c>
    </row>
    <row r="341" spans="1:8" ht="15">
      <c r="A341" s="4">
        <f>""</f>
      </c>
      <c r="B341" s="4" t="str">
        <f>"月小計"</f>
        <v>月小計</v>
      </c>
      <c r="C341" s="4">
        <f>""</f>
      </c>
      <c r="D341" s="4">
        <f>""</f>
      </c>
      <c r="E341" s="4" t="str">
        <f t="shared" si="18"/>
        <v>借</v>
      </c>
      <c r="F341" s="12">
        <f>850</f>
        <v>850</v>
      </c>
      <c r="G341" s="12"/>
      <c r="H341" s="12">
        <f>123547</f>
        <v>123547</v>
      </c>
    </row>
    <row r="342" spans="1:8" ht="15">
      <c r="A342" s="4" t="str">
        <f>"98-11-11"</f>
        <v>98-11-11</v>
      </c>
      <c r="B342" s="4" t="str">
        <f>"VH8B110004"</f>
        <v>VH8B110004</v>
      </c>
      <c r="C342" s="4" t="str">
        <f>"印章"</f>
        <v>印章</v>
      </c>
      <c r="D342" s="4" t="str">
        <f>"本會"</f>
        <v>本會</v>
      </c>
      <c r="E342" s="4" t="str">
        <f t="shared" si="18"/>
        <v>借</v>
      </c>
      <c r="F342" s="12">
        <f>200</f>
        <v>200</v>
      </c>
      <c r="G342" s="12"/>
      <c r="H342" s="12">
        <f>123747</f>
        <v>123747</v>
      </c>
    </row>
    <row r="343" spans="1:8" ht="15">
      <c r="A343" s="4">
        <f>""</f>
      </c>
      <c r="B343" s="4" t="str">
        <f>"月小計"</f>
        <v>月小計</v>
      </c>
      <c r="C343" s="4">
        <f>""</f>
      </c>
      <c r="D343" s="4">
        <f>""</f>
      </c>
      <c r="E343" s="4" t="str">
        <f t="shared" si="18"/>
        <v>借</v>
      </c>
      <c r="F343" s="12">
        <f>200</f>
        <v>200</v>
      </c>
      <c r="G343" s="12"/>
      <c r="H343" s="12">
        <f>123747</f>
        <v>123747</v>
      </c>
    </row>
    <row r="344" spans="1:8" ht="15">
      <c r="A344" s="4" t="str">
        <f>"98-12-29"</f>
        <v>98-12-29</v>
      </c>
      <c r="B344" s="4" t="str">
        <f>"VH8C290001"</f>
        <v>VH8C290001</v>
      </c>
      <c r="C344" s="4" t="str">
        <f>"USB插頭"</f>
        <v>USB插頭</v>
      </c>
      <c r="D344" s="4" t="str">
        <f>"本會"</f>
        <v>本會</v>
      </c>
      <c r="E344" s="4" t="str">
        <f t="shared" si="18"/>
        <v>借</v>
      </c>
      <c r="F344" s="12">
        <f>269</f>
        <v>269</v>
      </c>
      <c r="G344" s="12"/>
      <c r="H344" s="12">
        <f>124016</f>
        <v>124016</v>
      </c>
    </row>
    <row r="345" spans="1:8" ht="15">
      <c r="A345" s="4">
        <f>""</f>
      </c>
      <c r="B345" s="4" t="str">
        <f>"月小計"</f>
        <v>月小計</v>
      </c>
      <c r="C345" s="4">
        <f>""</f>
      </c>
      <c r="D345" s="4">
        <f>""</f>
      </c>
      <c r="E345" s="4" t="str">
        <f t="shared" si="18"/>
        <v>借</v>
      </c>
      <c r="F345" s="12">
        <f>269</f>
        <v>269</v>
      </c>
      <c r="G345" s="12"/>
      <c r="H345" s="12">
        <f>124016</f>
        <v>124016</v>
      </c>
    </row>
    <row r="346" spans="1:9" ht="15.75">
      <c r="A346" s="4">
        <f>""</f>
      </c>
      <c r="B346" s="4" t="str">
        <f>"合    計"</f>
        <v>合    計</v>
      </c>
      <c r="C346" s="4">
        <f>""</f>
      </c>
      <c r="D346" s="4">
        <f>""</f>
      </c>
      <c r="E346" s="4" t="str">
        <f t="shared" si="18"/>
        <v>借</v>
      </c>
      <c r="F346" s="12">
        <f>124016</f>
        <v>124016</v>
      </c>
      <c r="G346" s="12"/>
      <c r="H346" s="12">
        <f>124016</f>
        <v>124016</v>
      </c>
      <c r="I346" s="16" t="s">
        <v>28</v>
      </c>
    </row>
    <row r="347" spans="1:8" ht="15">
      <c r="A347" s="4">
        <f>""</f>
      </c>
      <c r="B347" s="4" t="str">
        <f>"承上期"</f>
        <v>承上期</v>
      </c>
      <c r="C347" s="4">
        <f>""</f>
      </c>
      <c r="D347" s="4">
        <f>""</f>
      </c>
      <c r="E347" s="4">
        <f>""</f>
      </c>
      <c r="F347" s="12"/>
      <c r="G347" s="12"/>
      <c r="H347" s="12"/>
    </row>
    <row r="348" spans="1:8" ht="15">
      <c r="A348" s="4" t="str">
        <f>"98-03-04"</f>
        <v>98-03-04</v>
      </c>
      <c r="B348" s="4" t="str">
        <f>"VH83040003"</f>
        <v>VH83040003</v>
      </c>
      <c r="C348" s="4" t="str">
        <f>"第11屆理監事20人"</f>
        <v>第11屆理監事20人</v>
      </c>
      <c r="D348" s="4" t="str">
        <f>"本會"</f>
        <v>本會</v>
      </c>
      <c r="E348" s="4" t="str">
        <f aca="true" t="shared" si="19" ref="E348:E359">"借"</f>
        <v>借</v>
      </c>
      <c r="F348" s="12">
        <f>27500</f>
        <v>27500</v>
      </c>
      <c r="G348" s="12"/>
      <c r="H348" s="12">
        <f>27500</f>
        <v>27500</v>
      </c>
    </row>
    <row r="349" spans="1:8" ht="15">
      <c r="A349" s="4" t="str">
        <f>"98-03-04"</f>
        <v>98-03-04</v>
      </c>
      <c r="B349" s="4" t="str">
        <f>"VH83040003"</f>
        <v>VH83040003</v>
      </c>
      <c r="C349" s="4" t="str">
        <f>"第11屆理監事"</f>
        <v>第11屆理監事</v>
      </c>
      <c r="D349" s="4" t="str">
        <f>"本會"</f>
        <v>本會</v>
      </c>
      <c r="E349" s="4" t="str">
        <f t="shared" si="19"/>
        <v>借</v>
      </c>
      <c r="F349" s="12">
        <f>1500</f>
        <v>1500</v>
      </c>
      <c r="G349" s="12"/>
      <c r="H349" s="12">
        <f>29000</f>
        <v>29000</v>
      </c>
    </row>
    <row r="350" spans="1:8" ht="15">
      <c r="A350" s="4" t="str">
        <f>"98-03-13"</f>
        <v>98-03-13</v>
      </c>
      <c r="B350" s="4" t="str">
        <f>"VH83130002"</f>
        <v>VH83130002</v>
      </c>
      <c r="C350" s="4" t="str">
        <f>"多提"</f>
        <v>多提</v>
      </c>
      <c r="D350" s="4" t="str">
        <f>"本會"</f>
        <v>本會</v>
      </c>
      <c r="E350" s="4" t="str">
        <f t="shared" si="19"/>
        <v>借</v>
      </c>
      <c r="F350" s="12"/>
      <c r="G350" s="12">
        <f>1500</f>
        <v>1500</v>
      </c>
      <c r="H350" s="12">
        <f>27500</f>
        <v>27500</v>
      </c>
    </row>
    <row r="351" spans="1:8" ht="15">
      <c r="A351" s="4" t="str">
        <f>"98-03-20"</f>
        <v>98-03-20</v>
      </c>
      <c r="B351" s="4" t="str">
        <f>"VH83200001"</f>
        <v>VH83200001</v>
      </c>
      <c r="C351" s="4" t="str">
        <f>"第12屆第1次理監事會車馬費"</f>
        <v>第12屆第1次理監事會車馬費</v>
      </c>
      <c r="D351" s="4" t="str">
        <f>"本會"</f>
        <v>本會</v>
      </c>
      <c r="E351" s="4" t="str">
        <f t="shared" si="19"/>
        <v>借</v>
      </c>
      <c r="F351" s="12">
        <f>41850</f>
        <v>41850</v>
      </c>
      <c r="G351" s="12"/>
      <c r="H351" s="12">
        <f>69350</f>
        <v>69350</v>
      </c>
    </row>
    <row r="352" spans="1:8" ht="15">
      <c r="A352" s="4" t="str">
        <f>"98-03-24"</f>
        <v>98-03-24</v>
      </c>
      <c r="B352" s="4" t="str">
        <f>"VH83240002"</f>
        <v>VH83240002</v>
      </c>
      <c r="C352" s="4" t="str">
        <f>"多提"</f>
        <v>多提</v>
      </c>
      <c r="D352" s="4" t="str">
        <f>"本會"</f>
        <v>本會</v>
      </c>
      <c r="E352" s="4" t="str">
        <f t="shared" si="19"/>
        <v>借</v>
      </c>
      <c r="F352" s="12"/>
      <c r="G352" s="12">
        <f>4500</f>
        <v>4500</v>
      </c>
      <c r="H352" s="12">
        <f>64850</f>
        <v>64850</v>
      </c>
    </row>
    <row r="353" spans="1:8" ht="15">
      <c r="A353" s="4">
        <f>""</f>
      </c>
      <c r="B353" s="4" t="str">
        <f>"月小計"</f>
        <v>月小計</v>
      </c>
      <c r="C353" s="4">
        <f>""</f>
      </c>
      <c r="D353" s="4">
        <f>""</f>
      </c>
      <c r="E353" s="4" t="str">
        <f t="shared" si="19"/>
        <v>借</v>
      </c>
      <c r="F353" s="12">
        <f>70850</f>
        <v>70850</v>
      </c>
      <c r="G353" s="12">
        <f>6000</f>
        <v>6000</v>
      </c>
      <c r="H353" s="12">
        <f>64850</f>
        <v>64850</v>
      </c>
    </row>
    <row r="354" spans="1:8" ht="15">
      <c r="A354" s="4" t="str">
        <f>"98-06-26"</f>
        <v>98-06-26</v>
      </c>
      <c r="B354" s="4" t="str">
        <f>"VH86260001"</f>
        <v>VH86260001</v>
      </c>
      <c r="C354" s="4" t="str">
        <f>"第12屆第2次(27人)"</f>
        <v>第12屆第2次(27人)</v>
      </c>
      <c r="D354" s="4" t="str">
        <f>"本會"</f>
        <v>本會</v>
      </c>
      <c r="E354" s="4" t="str">
        <f t="shared" si="19"/>
        <v>借</v>
      </c>
      <c r="F354" s="12">
        <f>40230</f>
        <v>40230</v>
      </c>
      <c r="G354" s="12"/>
      <c r="H354" s="12">
        <f>105080</f>
        <v>105080</v>
      </c>
    </row>
    <row r="355" spans="1:8" ht="15">
      <c r="A355" s="4" t="str">
        <f>"98-06-26"</f>
        <v>98-06-26</v>
      </c>
      <c r="B355" s="4" t="str">
        <f>"VH86260001"</f>
        <v>VH86260001</v>
      </c>
      <c r="C355" s="4" t="str">
        <f>"多提"</f>
        <v>多提</v>
      </c>
      <c r="D355" s="4" t="str">
        <f>"本會"</f>
        <v>本會</v>
      </c>
      <c r="E355" s="4" t="str">
        <f t="shared" si="19"/>
        <v>借</v>
      </c>
      <c r="F355" s="12"/>
      <c r="G355" s="12">
        <f>3000</f>
        <v>3000</v>
      </c>
      <c r="H355" s="12">
        <f>102080</f>
        <v>102080</v>
      </c>
    </row>
    <row r="356" spans="1:8" ht="15">
      <c r="A356" s="4">
        <f>""</f>
      </c>
      <c r="B356" s="4" t="str">
        <f>"月小計"</f>
        <v>月小計</v>
      </c>
      <c r="C356" s="4">
        <f>""</f>
      </c>
      <c r="D356" s="4">
        <f>""</f>
      </c>
      <c r="E356" s="4" t="str">
        <f t="shared" si="19"/>
        <v>借</v>
      </c>
      <c r="F356" s="12">
        <f>40230</f>
        <v>40230</v>
      </c>
      <c r="G356" s="12">
        <f>3000</f>
        <v>3000</v>
      </c>
      <c r="H356" s="12">
        <f>102080</f>
        <v>102080</v>
      </c>
    </row>
    <row r="357" spans="1:8" ht="15">
      <c r="A357" s="4" t="str">
        <f>"98-09-28"</f>
        <v>98-09-28</v>
      </c>
      <c r="B357" s="4" t="str">
        <f>"VH89280001"</f>
        <v>VH89280001</v>
      </c>
      <c r="C357" s="4" t="str">
        <f>"第12屆第三次24人車馬費"</f>
        <v>第12屆第三次24人車馬費</v>
      </c>
      <c r="D357" s="4" t="str">
        <f>"本會"</f>
        <v>本會</v>
      </c>
      <c r="E357" s="4" t="str">
        <f t="shared" si="19"/>
        <v>借</v>
      </c>
      <c r="F357" s="12">
        <f>20760</f>
        <v>20760</v>
      </c>
      <c r="G357" s="12"/>
      <c r="H357" s="12">
        <f>122840</f>
        <v>122840</v>
      </c>
    </row>
    <row r="358" spans="1:8" ht="15">
      <c r="A358" s="4">
        <f>""</f>
      </c>
      <c r="B358" s="4" t="str">
        <f>"月小計"</f>
        <v>月小計</v>
      </c>
      <c r="C358" s="4">
        <f>""</f>
      </c>
      <c r="D358" s="4">
        <f>""</f>
      </c>
      <c r="E358" s="4" t="str">
        <f t="shared" si="19"/>
        <v>借</v>
      </c>
      <c r="F358" s="12">
        <f>20760</f>
        <v>20760</v>
      </c>
      <c r="G358" s="12"/>
      <c r="H358" s="12">
        <f>122840</f>
        <v>122840</v>
      </c>
    </row>
    <row r="359" spans="1:9" ht="15.75">
      <c r="A359" s="4">
        <f>""</f>
      </c>
      <c r="B359" s="4" t="str">
        <f>"合    計"</f>
        <v>合    計</v>
      </c>
      <c r="C359" s="4">
        <f>""</f>
      </c>
      <c r="D359" s="4">
        <f>""</f>
      </c>
      <c r="E359" s="4" t="str">
        <f t="shared" si="19"/>
        <v>借</v>
      </c>
      <c r="F359" s="12">
        <f>131840</f>
        <v>131840</v>
      </c>
      <c r="G359" s="12">
        <f>9000</f>
        <v>9000</v>
      </c>
      <c r="H359" s="12">
        <f>122840</f>
        <v>122840</v>
      </c>
      <c r="I359" s="16" t="s">
        <v>29</v>
      </c>
    </row>
    <row r="360" spans="1:8" ht="15">
      <c r="A360" s="4">
        <f>""</f>
      </c>
      <c r="B360" s="4" t="str">
        <f>"承上期"</f>
        <v>承上期</v>
      </c>
      <c r="C360" s="4">
        <f>""</f>
      </c>
      <c r="D360" s="4">
        <f>""</f>
      </c>
      <c r="E360" s="4">
        <f>""</f>
      </c>
      <c r="F360" s="12"/>
      <c r="G360" s="12"/>
      <c r="H360" s="12"/>
    </row>
    <row r="361" spans="1:8" ht="15">
      <c r="A361" s="4" t="str">
        <f>"98-03-04"</f>
        <v>98-03-04</v>
      </c>
      <c r="B361" s="4" t="str">
        <f>"VH83040003"</f>
        <v>VH83040003</v>
      </c>
      <c r="C361" s="4" t="str">
        <f>"第11屆理監事20人"</f>
        <v>第11屆理監事20人</v>
      </c>
      <c r="D361" s="4" t="str">
        <f>"本會"</f>
        <v>本會</v>
      </c>
      <c r="E361" s="4" t="str">
        <f aca="true" t="shared" si="20" ref="E361:E370">"借"</f>
        <v>借</v>
      </c>
      <c r="F361" s="12">
        <f>500</f>
        <v>500</v>
      </c>
      <c r="G361" s="12"/>
      <c r="H361" s="12">
        <f>500</f>
        <v>500</v>
      </c>
    </row>
    <row r="362" spans="1:8" ht="15">
      <c r="A362" s="4" t="str">
        <f>"98-03-20"</f>
        <v>98-03-20</v>
      </c>
      <c r="B362" s="4" t="str">
        <f>"VH83200001"</f>
        <v>VH83200001</v>
      </c>
      <c r="C362" s="4" t="str">
        <f>"第12屆第1次理監事會億婷加班"</f>
        <v>第12屆第1次理監事會億婷加班</v>
      </c>
      <c r="D362" s="4" t="str">
        <f>"本會"</f>
        <v>本會</v>
      </c>
      <c r="E362" s="4" t="str">
        <f t="shared" si="20"/>
        <v>借</v>
      </c>
      <c r="F362" s="12">
        <f>1000</f>
        <v>1000</v>
      </c>
      <c r="G362" s="12"/>
      <c r="H362" s="12">
        <f>1500</f>
        <v>1500</v>
      </c>
    </row>
    <row r="363" spans="1:8" ht="15">
      <c r="A363" s="4">
        <f>""</f>
      </c>
      <c r="B363" s="4" t="str">
        <f>"月小計"</f>
        <v>月小計</v>
      </c>
      <c r="C363" s="4">
        <f>""</f>
      </c>
      <c r="D363" s="4">
        <f>""</f>
      </c>
      <c r="E363" s="4" t="str">
        <f t="shared" si="20"/>
        <v>借</v>
      </c>
      <c r="F363" s="12">
        <f>1500</f>
        <v>1500</v>
      </c>
      <c r="G363" s="12"/>
      <c r="H363" s="12">
        <f>1500</f>
        <v>1500</v>
      </c>
    </row>
    <row r="364" spans="1:8" ht="15">
      <c r="A364" s="4" t="str">
        <f>"98-06-26"</f>
        <v>98-06-26</v>
      </c>
      <c r="B364" s="4" t="str">
        <f>"VH86260001"</f>
        <v>VH86260001</v>
      </c>
      <c r="C364" s="4" t="str">
        <f>"第12屆第2次億婷加班"</f>
        <v>第12屆第2次億婷加班</v>
      </c>
      <c r="D364" s="4" t="str">
        <f>"本會"</f>
        <v>本會</v>
      </c>
      <c r="E364" s="4" t="str">
        <f t="shared" si="20"/>
        <v>借</v>
      </c>
      <c r="F364" s="12">
        <f>500</f>
        <v>500</v>
      </c>
      <c r="G364" s="12"/>
      <c r="H364" s="12">
        <f>2000</f>
        <v>2000</v>
      </c>
    </row>
    <row r="365" spans="1:8" ht="15">
      <c r="A365" s="4">
        <f>""</f>
      </c>
      <c r="B365" s="4" t="str">
        <f>"月小計"</f>
        <v>月小計</v>
      </c>
      <c r="C365" s="4">
        <f>""</f>
      </c>
      <c r="D365" s="4">
        <f>""</f>
      </c>
      <c r="E365" s="4" t="str">
        <f t="shared" si="20"/>
        <v>借</v>
      </c>
      <c r="F365" s="12">
        <f>500</f>
        <v>500</v>
      </c>
      <c r="G365" s="12"/>
      <c r="H365" s="12">
        <f>2000</f>
        <v>2000</v>
      </c>
    </row>
    <row r="366" spans="1:8" ht="15">
      <c r="A366" s="4" t="str">
        <f>"98-08-12"</f>
        <v>98-08-12</v>
      </c>
      <c r="B366" s="4" t="str">
        <f>"VH88120001"</f>
        <v>VH88120001</v>
      </c>
      <c r="C366" s="4" t="str">
        <f>"第6屆甄審會議簡憶婷加班"</f>
        <v>第6屆甄審會議簡憶婷加班</v>
      </c>
      <c r="D366" s="4" t="str">
        <f>"本會"</f>
        <v>本會</v>
      </c>
      <c r="E366" s="4" t="str">
        <f t="shared" si="20"/>
        <v>借</v>
      </c>
      <c r="F366" s="12">
        <f>500</f>
        <v>500</v>
      </c>
      <c r="G366" s="12"/>
      <c r="H366" s="12">
        <f>2500</f>
        <v>2500</v>
      </c>
    </row>
    <row r="367" spans="1:8" ht="15">
      <c r="A367" s="4">
        <f>""</f>
      </c>
      <c r="B367" s="4" t="str">
        <f>"月小計"</f>
        <v>月小計</v>
      </c>
      <c r="C367" s="4">
        <f>""</f>
      </c>
      <c r="D367" s="4">
        <f>""</f>
      </c>
      <c r="E367" s="4" t="str">
        <f t="shared" si="20"/>
        <v>借</v>
      </c>
      <c r="F367" s="12">
        <f>500</f>
        <v>500</v>
      </c>
      <c r="G367" s="12"/>
      <c r="H367" s="12">
        <f>2500</f>
        <v>2500</v>
      </c>
    </row>
    <row r="368" spans="1:8" ht="15">
      <c r="A368" s="4" t="str">
        <f>"98-09-28"</f>
        <v>98-09-28</v>
      </c>
      <c r="B368" s="4" t="str">
        <f>"VH89280001"</f>
        <v>VH89280001</v>
      </c>
      <c r="C368" s="4" t="str">
        <f>"第12屆第三次億婷加班"</f>
        <v>第12屆第三次億婷加班</v>
      </c>
      <c r="D368" s="4" t="str">
        <f>"本會"</f>
        <v>本會</v>
      </c>
      <c r="E368" s="4" t="str">
        <f t="shared" si="20"/>
        <v>借</v>
      </c>
      <c r="F368" s="12">
        <f>500</f>
        <v>500</v>
      </c>
      <c r="G368" s="12"/>
      <c r="H368" s="12">
        <f>3000</f>
        <v>3000</v>
      </c>
    </row>
    <row r="369" spans="1:8" ht="15">
      <c r="A369" s="4">
        <f>""</f>
      </c>
      <c r="B369" s="4" t="str">
        <f>"月小計"</f>
        <v>月小計</v>
      </c>
      <c r="C369" s="4">
        <f>""</f>
      </c>
      <c r="D369" s="4">
        <f>""</f>
      </c>
      <c r="E369" s="4" t="str">
        <f t="shared" si="20"/>
        <v>借</v>
      </c>
      <c r="F369" s="12">
        <f>500</f>
        <v>500</v>
      </c>
      <c r="G369" s="12"/>
      <c r="H369" s="12">
        <f>3000</f>
        <v>3000</v>
      </c>
    </row>
    <row r="370" spans="1:9" ht="15.75">
      <c r="A370" s="4">
        <f>""</f>
      </c>
      <c r="B370" s="4" t="str">
        <f>"合    計"</f>
        <v>合    計</v>
      </c>
      <c r="C370" s="4">
        <f>""</f>
      </c>
      <c r="D370" s="4">
        <f>""</f>
      </c>
      <c r="E370" s="4" t="str">
        <f t="shared" si="20"/>
        <v>借</v>
      </c>
      <c r="F370" s="12">
        <f>3000</f>
        <v>3000</v>
      </c>
      <c r="G370" s="12"/>
      <c r="H370" s="12">
        <f>3000</f>
        <v>3000</v>
      </c>
      <c r="I370" s="16" t="s">
        <v>30</v>
      </c>
    </row>
    <row r="371" spans="1:8" ht="15">
      <c r="A371" s="4">
        <f>""</f>
      </c>
      <c r="B371" s="4" t="str">
        <f>"承上期"</f>
        <v>承上期</v>
      </c>
      <c r="C371" s="4">
        <f>""</f>
      </c>
      <c r="D371" s="4">
        <f>""</f>
      </c>
      <c r="E371" s="4">
        <f>""</f>
      </c>
      <c r="F371" s="12"/>
      <c r="G371" s="12"/>
      <c r="H371" s="12"/>
    </row>
    <row r="372" spans="1:8" ht="15">
      <c r="A372" s="4" t="str">
        <f>"98-03-20"</f>
        <v>98-03-20</v>
      </c>
      <c r="B372" s="4" t="str">
        <f>"VH83200001"</f>
        <v>VH83200001</v>
      </c>
      <c r="C372" s="4" t="str">
        <f>"第12屆第1次理監事會車資"</f>
        <v>第12屆第1次理監事會車資</v>
      </c>
      <c r="D372" s="4" t="str">
        <f>"本會"</f>
        <v>本會</v>
      </c>
      <c r="E372" s="4" t="str">
        <f aca="true" t="shared" si="21" ref="E372:E378">"借"</f>
        <v>借</v>
      </c>
      <c r="F372" s="12">
        <f>15650</f>
        <v>15650</v>
      </c>
      <c r="G372" s="12"/>
      <c r="H372" s="12">
        <f>15650</f>
        <v>15650</v>
      </c>
    </row>
    <row r="373" spans="1:8" ht="15">
      <c r="A373" s="4">
        <f>""</f>
      </c>
      <c r="B373" s="4" t="str">
        <f>"月小計"</f>
        <v>月小計</v>
      </c>
      <c r="C373" s="4">
        <f>""</f>
      </c>
      <c r="D373" s="4">
        <f>""</f>
      </c>
      <c r="E373" s="4" t="str">
        <f t="shared" si="21"/>
        <v>借</v>
      </c>
      <c r="F373" s="12">
        <f>15650</f>
        <v>15650</v>
      </c>
      <c r="G373" s="12"/>
      <c r="H373" s="12">
        <f>15650</f>
        <v>15650</v>
      </c>
    </row>
    <row r="374" spans="1:8" ht="15">
      <c r="A374" s="4" t="str">
        <f>"98-06-26"</f>
        <v>98-06-26</v>
      </c>
      <c r="B374" s="4" t="str">
        <f>"VH86260001"</f>
        <v>VH86260001</v>
      </c>
      <c r="C374" s="4" t="str">
        <f>"第12屆第2次車資"</f>
        <v>第12屆第2次車資</v>
      </c>
      <c r="D374" s="4" t="str">
        <f>"本會"</f>
        <v>本會</v>
      </c>
      <c r="E374" s="4" t="str">
        <f t="shared" si="21"/>
        <v>借</v>
      </c>
      <c r="F374" s="12">
        <f>13270</f>
        <v>13270</v>
      </c>
      <c r="G374" s="12"/>
      <c r="H374" s="12">
        <f>28920</f>
        <v>28920</v>
      </c>
    </row>
    <row r="375" spans="1:8" ht="15">
      <c r="A375" s="4">
        <f>""</f>
      </c>
      <c r="B375" s="4" t="str">
        <f>"月小計"</f>
        <v>月小計</v>
      </c>
      <c r="C375" s="4">
        <f>""</f>
      </c>
      <c r="D375" s="4">
        <f>""</f>
      </c>
      <c r="E375" s="4" t="str">
        <f t="shared" si="21"/>
        <v>借</v>
      </c>
      <c r="F375" s="12">
        <f>13270</f>
        <v>13270</v>
      </c>
      <c r="G375" s="12"/>
      <c r="H375" s="12">
        <f>28920</f>
        <v>28920</v>
      </c>
    </row>
    <row r="376" spans="1:8" ht="15">
      <c r="A376" s="4" t="str">
        <f>"98-09-28"</f>
        <v>98-09-28</v>
      </c>
      <c r="B376" s="4" t="str">
        <f>"VH89280001"</f>
        <v>VH89280001</v>
      </c>
      <c r="C376" s="4" t="str">
        <f>"第12屆第三次車資"</f>
        <v>第12屆第三次車資</v>
      </c>
      <c r="D376" s="4" t="str">
        <f>"本會"</f>
        <v>本會</v>
      </c>
      <c r="E376" s="4" t="str">
        <f t="shared" si="21"/>
        <v>借</v>
      </c>
      <c r="F376" s="12">
        <f>12240</f>
        <v>12240</v>
      </c>
      <c r="G376" s="12"/>
      <c r="H376" s="12">
        <f>41160</f>
        <v>41160</v>
      </c>
    </row>
    <row r="377" spans="1:8" ht="15">
      <c r="A377" s="4">
        <f>""</f>
      </c>
      <c r="B377" s="4" t="str">
        <f>"月小計"</f>
        <v>月小計</v>
      </c>
      <c r="C377" s="4">
        <f>""</f>
      </c>
      <c r="D377" s="4">
        <f>""</f>
      </c>
      <c r="E377" s="4" t="str">
        <f t="shared" si="21"/>
        <v>借</v>
      </c>
      <c r="F377" s="12">
        <f>12240</f>
        <v>12240</v>
      </c>
      <c r="G377" s="12"/>
      <c r="H377" s="12">
        <f>41160</f>
        <v>41160</v>
      </c>
    </row>
    <row r="378" spans="1:9" ht="15.75">
      <c r="A378" s="4">
        <f>""</f>
      </c>
      <c r="B378" s="4" t="str">
        <f>"合    計"</f>
        <v>合    計</v>
      </c>
      <c r="C378" s="4">
        <f>""</f>
      </c>
      <c r="D378" s="4">
        <f>""</f>
      </c>
      <c r="E378" s="4" t="str">
        <f t="shared" si="21"/>
        <v>借</v>
      </c>
      <c r="F378" s="12">
        <f>41160</f>
        <v>41160</v>
      </c>
      <c r="G378" s="12"/>
      <c r="H378" s="12">
        <f>41160</f>
        <v>41160</v>
      </c>
      <c r="I378" s="16" t="s">
        <v>41</v>
      </c>
    </row>
    <row r="379" spans="1:8" ht="15">
      <c r="A379" s="4">
        <f>""</f>
      </c>
      <c r="B379" s="4" t="str">
        <f>"承上期"</f>
        <v>承上期</v>
      </c>
      <c r="C379" s="4">
        <f>""</f>
      </c>
      <c r="D379" s="4">
        <f>""</f>
      </c>
      <c r="E379" s="4">
        <f>""</f>
      </c>
      <c r="F379" s="12"/>
      <c r="G379" s="12"/>
      <c r="H379" s="12"/>
    </row>
    <row r="380" spans="1:8" ht="15">
      <c r="A380" s="4" t="str">
        <f>"98-03-13"</f>
        <v>98-03-13</v>
      </c>
      <c r="B380" s="4" t="str">
        <f>"VH83130002"</f>
        <v>VH83130002</v>
      </c>
      <c r="C380" s="4" t="str">
        <f>"餐飲費"</f>
        <v>餐飲費</v>
      </c>
      <c r="D380" s="4" t="str">
        <f>"本會"</f>
        <v>本會</v>
      </c>
      <c r="E380" s="4" t="str">
        <f aca="true" t="shared" si="22" ref="E380:E388">"借"</f>
        <v>借</v>
      </c>
      <c r="F380" s="12">
        <f>14300</f>
        <v>14300</v>
      </c>
      <c r="G380" s="12"/>
      <c r="H380" s="12">
        <f>14300</f>
        <v>14300</v>
      </c>
    </row>
    <row r="381" spans="1:8" ht="15">
      <c r="A381" s="4">
        <f>""</f>
      </c>
      <c r="B381" s="4" t="str">
        <f>"月小計"</f>
        <v>月小計</v>
      </c>
      <c r="C381" s="4">
        <f>""</f>
      </c>
      <c r="D381" s="4">
        <f>""</f>
      </c>
      <c r="E381" s="4" t="str">
        <f t="shared" si="22"/>
        <v>借</v>
      </c>
      <c r="F381" s="12">
        <f>14300</f>
        <v>14300</v>
      </c>
      <c r="G381" s="12"/>
      <c r="H381" s="12">
        <f>14300</f>
        <v>14300</v>
      </c>
    </row>
    <row r="382" spans="1:8" ht="15">
      <c r="A382" s="4" t="str">
        <f>"98-04-28"</f>
        <v>98-04-28</v>
      </c>
      <c r="B382" s="4" t="str">
        <f>"VH84280001"</f>
        <v>VH84280001</v>
      </c>
      <c r="C382" s="4" t="str">
        <f>"理監事開會餐飲會"</f>
        <v>理監事開會餐飲會</v>
      </c>
      <c r="D382" s="4" t="str">
        <f>"本會"</f>
        <v>本會</v>
      </c>
      <c r="E382" s="4" t="str">
        <f t="shared" si="22"/>
        <v>借</v>
      </c>
      <c r="F382" s="12">
        <f>74932</f>
        <v>74932</v>
      </c>
      <c r="G382" s="12"/>
      <c r="H382" s="12">
        <f>89232</f>
        <v>89232</v>
      </c>
    </row>
    <row r="383" spans="1:8" ht="15">
      <c r="A383" s="4">
        <f>""</f>
      </c>
      <c r="B383" s="4" t="str">
        <f>"月小計"</f>
        <v>月小計</v>
      </c>
      <c r="C383" s="4">
        <f>""</f>
      </c>
      <c r="D383" s="4">
        <f>""</f>
      </c>
      <c r="E383" s="4" t="str">
        <f t="shared" si="22"/>
        <v>借</v>
      </c>
      <c r="F383" s="12">
        <f>74932</f>
        <v>74932</v>
      </c>
      <c r="G383" s="12"/>
      <c r="H383" s="12">
        <f>89232</f>
        <v>89232</v>
      </c>
    </row>
    <row r="384" spans="1:8" ht="15">
      <c r="A384" s="4" t="str">
        <f>"98-06-26"</f>
        <v>98-06-26</v>
      </c>
      <c r="B384" s="4" t="str">
        <f>"VH86260002"</f>
        <v>VH86260002</v>
      </c>
      <c r="C384" s="4" t="str">
        <f>"理監會餐費"</f>
        <v>理監會餐費</v>
      </c>
      <c r="D384" s="4" t="str">
        <f>"本會"</f>
        <v>本會</v>
      </c>
      <c r="E384" s="4" t="str">
        <f t="shared" si="22"/>
        <v>借</v>
      </c>
      <c r="F384" s="12">
        <f>31856</f>
        <v>31856</v>
      </c>
      <c r="G384" s="12"/>
      <c r="H384" s="12">
        <f>121088</f>
        <v>121088</v>
      </c>
    </row>
    <row r="385" spans="1:8" ht="15">
      <c r="A385" s="4">
        <f>""</f>
      </c>
      <c r="B385" s="4" t="str">
        <f>"月小計"</f>
        <v>月小計</v>
      </c>
      <c r="C385" s="4">
        <f>""</f>
      </c>
      <c r="D385" s="4">
        <f>""</f>
      </c>
      <c r="E385" s="4" t="str">
        <f t="shared" si="22"/>
        <v>借</v>
      </c>
      <c r="F385" s="12">
        <f>31856</f>
        <v>31856</v>
      </c>
      <c r="G385" s="12"/>
      <c r="H385" s="12">
        <f>121088</f>
        <v>121088</v>
      </c>
    </row>
    <row r="386" spans="1:8" ht="15">
      <c r="A386" s="4" t="str">
        <f>"98-09-28"</f>
        <v>98-09-28</v>
      </c>
      <c r="B386" s="4" t="str">
        <f>"VH89280001"</f>
        <v>VH89280001</v>
      </c>
      <c r="C386" s="4" t="str">
        <f>"餐費"</f>
        <v>餐費</v>
      </c>
      <c r="D386" s="4" t="str">
        <f>"本會"</f>
        <v>本會</v>
      </c>
      <c r="E386" s="4" t="str">
        <f t="shared" si="22"/>
        <v>借</v>
      </c>
      <c r="F386" s="12">
        <f>24272</f>
        <v>24272</v>
      </c>
      <c r="G386" s="12"/>
      <c r="H386" s="12">
        <f>145360</f>
        <v>145360</v>
      </c>
    </row>
    <row r="387" spans="1:8" ht="15">
      <c r="A387" s="4">
        <f>""</f>
      </c>
      <c r="B387" s="4" t="str">
        <f>"月小計"</f>
        <v>月小計</v>
      </c>
      <c r="C387" s="4">
        <f>""</f>
      </c>
      <c r="D387" s="4">
        <f>""</f>
      </c>
      <c r="E387" s="4" t="str">
        <f t="shared" si="22"/>
        <v>借</v>
      </c>
      <c r="F387" s="12">
        <f>24272</f>
        <v>24272</v>
      </c>
      <c r="G387" s="12"/>
      <c r="H387" s="12">
        <f>145360</f>
        <v>145360</v>
      </c>
    </row>
    <row r="388" spans="1:9" ht="15.75">
      <c r="A388" s="4">
        <f>""</f>
      </c>
      <c r="B388" s="4" t="str">
        <f>"合    計"</f>
        <v>合    計</v>
      </c>
      <c r="C388" s="4">
        <f>""</f>
      </c>
      <c r="D388" s="4">
        <f>""</f>
      </c>
      <c r="E388" s="4" t="str">
        <f t="shared" si="22"/>
        <v>借</v>
      </c>
      <c r="F388" s="12">
        <f>145360</f>
        <v>145360</v>
      </c>
      <c r="G388" s="12"/>
      <c r="H388" s="12">
        <f>145360</f>
        <v>145360</v>
      </c>
      <c r="I388" s="16" t="s">
        <v>31</v>
      </c>
    </row>
    <row r="389" spans="1:8" ht="15">
      <c r="A389" s="4">
        <f>""</f>
      </c>
      <c r="B389" s="4" t="str">
        <f>"承上期"</f>
        <v>承上期</v>
      </c>
      <c r="C389" s="4">
        <f>""</f>
      </c>
      <c r="D389" s="4">
        <f>""</f>
      </c>
      <c r="E389" s="4">
        <f>""</f>
      </c>
      <c r="F389" s="12"/>
      <c r="G389" s="12"/>
      <c r="H389" s="12"/>
    </row>
    <row r="390" spans="1:8" ht="15">
      <c r="A390" s="4" t="str">
        <f>"98-08-12"</f>
        <v>98-08-12</v>
      </c>
      <c r="B390" s="4" t="str">
        <f>"VH88120001"</f>
        <v>VH88120001</v>
      </c>
      <c r="C390" s="4" t="str">
        <f>"第6屆甄審會議車馬費"</f>
        <v>第6屆甄審會議車馬費</v>
      </c>
      <c r="D390" s="4" t="str">
        <f>"本會"</f>
        <v>本會</v>
      </c>
      <c r="E390" s="4" t="str">
        <f>"借"</f>
        <v>借</v>
      </c>
      <c r="F390" s="12">
        <f>9000</f>
        <v>9000</v>
      </c>
      <c r="G390" s="12"/>
      <c r="H390" s="12">
        <f>9000</f>
        <v>9000</v>
      </c>
    </row>
    <row r="391" spans="1:8" ht="15">
      <c r="A391" s="4">
        <f>""</f>
      </c>
      <c r="B391" s="4" t="str">
        <f>"月小計"</f>
        <v>月小計</v>
      </c>
      <c r="C391" s="4">
        <f>""</f>
      </c>
      <c r="D391" s="4">
        <f>""</f>
      </c>
      <c r="E391" s="4" t="str">
        <f>"借"</f>
        <v>借</v>
      </c>
      <c r="F391" s="12">
        <f>9000</f>
        <v>9000</v>
      </c>
      <c r="G391" s="12"/>
      <c r="H391" s="12">
        <f>9000</f>
        <v>9000</v>
      </c>
    </row>
    <row r="392" spans="1:9" ht="15.75">
      <c r="A392" s="4">
        <f>""</f>
      </c>
      <c r="B392" s="4" t="str">
        <f>"合    計"</f>
        <v>合    計</v>
      </c>
      <c r="C392" s="4">
        <f>""</f>
      </c>
      <c r="D392" s="4">
        <f>""</f>
      </c>
      <c r="E392" s="4" t="str">
        <f>"借"</f>
        <v>借</v>
      </c>
      <c r="F392" s="12">
        <f>9000</f>
        <v>9000</v>
      </c>
      <c r="G392" s="12"/>
      <c r="H392" s="12">
        <f>9000</f>
        <v>9000</v>
      </c>
      <c r="I392" s="16" t="s">
        <v>42</v>
      </c>
    </row>
    <row r="393" spans="1:8" ht="15">
      <c r="A393" s="4">
        <f>""</f>
      </c>
      <c r="B393" s="4" t="str">
        <f>"承上期"</f>
        <v>承上期</v>
      </c>
      <c r="C393" s="4">
        <f>""</f>
      </c>
      <c r="D393" s="4">
        <f>""</f>
      </c>
      <c r="E393" s="4">
        <f>""</f>
      </c>
      <c r="F393" s="12"/>
      <c r="G393" s="12"/>
      <c r="H393" s="12"/>
    </row>
    <row r="394" spans="1:8" ht="15">
      <c r="A394" s="4" t="str">
        <f>"98-08-12"</f>
        <v>98-08-12</v>
      </c>
      <c r="B394" s="4" t="str">
        <f>"VH88120001"</f>
        <v>VH88120001</v>
      </c>
      <c r="C394" s="4" t="str">
        <f>"5人工作人員"</f>
        <v>5人工作人員</v>
      </c>
      <c r="D394" s="4" t="str">
        <f>"本會"</f>
        <v>本會</v>
      </c>
      <c r="E394" s="4" t="str">
        <f>"借"</f>
        <v>借</v>
      </c>
      <c r="F394" s="12">
        <f>6000</f>
        <v>6000</v>
      </c>
      <c r="G394" s="12"/>
      <c r="H394" s="12">
        <f>6000</f>
        <v>6000</v>
      </c>
    </row>
    <row r="395" spans="1:8" ht="15">
      <c r="A395" s="4" t="str">
        <f>"98-08-12"</f>
        <v>98-08-12</v>
      </c>
      <c r="B395" s="4" t="str">
        <f>"VH88120001"</f>
        <v>VH88120001</v>
      </c>
      <c r="C395" s="4" t="str">
        <f>"1人試題打字"</f>
        <v>1人試題打字</v>
      </c>
      <c r="D395" s="4" t="str">
        <f>"本會"</f>
        <v>本會</v>
      </c>
      <c r="E395" s="4" t="str">
        <f>"借"</f>
        <v>借</v>
      </c>
      <c r="F395" s="12">
        <f>3000</f>
        <v>3000</v>
      </c>
      <c r="G395" s="12"/>
      <c r="H395" s="12">
        <f>9000</f>
        <v>9000</v>
      </c>
    </row>
    <row r="396" spans="1:8" ht="15">
      <c r="A396" s="4" t="str">
        <f>"98-08-12"</f>
        <v>98-08-12</v>
      </c>
      <c r="B396" s="4" t="str">
        <f>"VH88120001"</f>
        <v>VH88120001</v>
      </c>
      <c r="C396" s="4" t="str">
        <f>"第6屆甄審會議李婉君"</f>
        <v>第6屆甄審會議李婉君</v>
      </c>
      <c r="D396" s="4" t="str">
        <f>"本會"</f>
        <v>本會</v>
      </c>
      <c r="E396" s="4" t="str">
        <f>"借"</f>
        <v>借</v>
      </c>
      <c r="F396" s="12">
        <f>500</f>
        <v>500</v>
      </c>
      <c r="G396" s="12"/>
      <c r="H396" s="12">
        <f>9500</f>
        <v>9500</v>
      </c>
    </row>
    <row r="397" spans="1:8" ht="15">
      <c r="A397" s="4">
        <f>""</f>
      </c>
      <c r="B397" s="4" t="str">
        <f>"月小計"</f>
        <v>月小計</v>
      </c>
      <c r="C397" s="4">
        <f>""</f>
      </c>
      <c r="D397" s="4">
        <f>""</f>
      </c>
      <c r="E397" s="4" t="str">
        <f>"借"</f>
        <v>借</v>
      </c>
      <c r="F397" s="12">
        <f>9500</f>
        <v>9500</v>
      </c>
      <c r="G397" s="12"/>
      <c r="H397" s="12">
        <f>9500</f>
        <v>9500</v>
      </c>
    </row>
    <row r="398" spans="1:9" ht="15.75">
      <c r="A398" s="4">
        <f>""</f>
      </c>
      <c r="B398" s="4" t="str">
        <f>"合    計"</f>
        <v>合    計</v>
      </c>
      <c r="C398" s="4">
        <f>""</f>
      </c>
      <c r="D398" s="4">
        <f>""</f>
      </c>
      <c r="E398" s="4" t="str">
        <f>"借"</f>
        <v>借</v>
      </c>
      <c r="F398" s="12">
        <f>9500</f>
        <v>9500</v>
      </c>
      <c r="G398" s="12"/>
      <c r="H398" s="12">
        <f>9500</f>
        <v>9500</v>
      </c>
      <c r="I398" s="16" t="s">
        <v>43</v>
      </c>
    </row>
    <row r="399" spans="1:8" ht="15">
      <c r="A399" s="4">
        <f>""</f>
      </c>
      <c r="B399" s="4" t="str">
        <f>"承上期"</f>
        <v>承上期</v>
      </c>
      <c r="C399" s="4">
        <f>""</f>
      </c>
      <c r="D399" s="4">
        <f>""</f>
      </c>
      <c r="E399" s="4">
        <f>""</f>
      </c>
      <c r="F399" s="12"/>
      <c r="G399" s="12"/>
      <c r="H399" s="12"/>
    </row>
    <row r="400" spans="1:8" ht="15">
      <c r="A400" s="4" t="str">
        <f>"98-08-12"</f>
        <v>98-08-12</v>
      </c>
      <c r="B400" s="4" t="str">
        <f>"VH88120001"</f>
        <v>VH88120001</v>
      </c>
      <c r="C400" s="4" t="str">
        <f>"簡憶婷"</f>
        <v>簡憶婷</v>
      </c>
      <c r="D400" s="4" t="str">
        <f>"本會"</f>
        <v>本會</v>
      </c>
      <c r="E400" s="4" t="str">
        <f>"借"</f>
        <v>借</v>
      </c>
      <c r="F400" s="12">
        <f>2000</f>
        <v>2000</v>
      </c>
      <c r="G400" s="12"/>
      <c r="H400" s="12">
        <f>2000</f>
        <v>2000</v>
      </c>
    </row>
    <row r="401" spans="1:8" ht="15">
      <c r="A401" s="4">
        <f>""</f>
      </c>
      <c r="B401" s="4" t="str">
        <f>"月小計"</f>
        <v>月小計</v>
      </c>
      <c r="C401" s="4">
        <f>""</f>
      </c>
      <c r="D401" s="4">
        <f>""</f>
      </c>
      <c r="E401" s="4" t="str">
        <f>"借"</f>
        <v>借</v>
      </c>
      <c r="F401" s="12">
        <f>2000</f>
        <v>2000</v>
      </c>
      <c r="G401" s="12"/>
      <c r="H401" s="12">
        <f>2000</f>
        <v>2000</v>
      </c>
    </row>
    <row r="402" spans="1:9" ht="15.75">
      <c r="A402" s="4">
        <f>""</f>
      </c>
      <c r="B402" s="4" t="str">
        <f>"合    計"</f>
        <v>合    計</v>
      </c>
      <c r="C402" s="4">
        <f>""</f>
      </c>
      <c r="D402" s="4">
        <f>""</f>
      </c>
      <c r="E402" s="4" t="str">
        <f>"借"</f>
        <v>借</v>
      </c>
      <c r="F402" s="12">
        <f>2000</f>
        <v>2000</v>
      </c>
      <c r="G402" s="12"/>
      <c r="H402" s="12">
        <f>2000</f>
        <v>2000</v>
      </c>
      <c r="I402" s="16" t="s">
        <v>32</v>
      </c>
    </row>
    <row r="403" spans="1:8" ht="15">
      <c r="A403" s="4">
        <f>""</f>
      </c>
      <c r="B403" s="4" t="str">
        <f>"承上期"</f>
        <v>承上期</v>
      </c>
      <c r="C403" s="4">
        <f>""</f>
      </c>
      <c r="D403" s="4">
        <f>""</f>
      </c>
      <c r="E403" s="4">
        <f>""</f>
      </c>
      <c r="F403" s="12"/>
      <c r="G403" s="12"/>
      <c r="H403" s="12"/>
    </row>
    <row r="404" spans="1:8" ht="15">
      <c r="A404" s="4" t="str">
        <f>"98-08-12"</f>
        <v>98-08-12</v>
      </c>
      <c r="B404" s="4" t="str">
        <f>"VH88120001"</f>
        <v>VH88120001</v>
      </c>
      <c r="C404" s="4" t="str">
        <f>"監考張忠毅.許翰水"</f>
        <v>監考張忠毅.許翰水</v>
      </c>
      <c r="D404" s="4" t="str">
        <f>"本會"</f>
        <v>本會</v>
      </c>
      <c r="E404" s="4" t="str">
        <f aca="true" t="shared" si="23" ref="E404:E411">"借"</f>
        <v>借</v>
      </c>
      <c r="F404" s="12">
        <f>2000</f>
        <v>2000</v>
      </c>
      <c r="G404" s="12"/>
      <c r="H404" s="12">
        <f>2000</f>
        <v>2000</v>
      </c>
    </row>
    <row r="405" spans="1:8" ht="15">
      <c r="A405" s="4" t="str">
        <f>"98-08-12"</f>
        <v>98-08-12</v>
      </c>
      <c r="B405" s="4" t="str">
        <f>"VH88120001"</f>
        <v>VH88120001</v>
      </c>
      <c r="C405" s="4" t="str">
        <f>"10人口試監考費"</f>
        <v>10人口試監考費</v>
      </c>
      <c r="D405" s="4" t="str">
        <f>"本會"</f>
        <v>本會</v>
      </c>
      <c r="E405" s="4" t="str">
        <f t="shared" si="23"/>
        <v>借</v>
      </c>
      <c r="F405" s="12">
        <f>20000</f>
        <v>20000</v>
      </c>
      <c r="G405" s="12"/>
      <c r="H405" s="12">
        <f>22000</f>
        <v>22000</v>
      </c>
    </row>
    <row r="406" spans="1:8" ht="15">
      <c r="A406" s="4">
        <f>""</f>
      </c>
      <c r="B406" s="4" t="str">
        <f>"月小計"</f>
        <v>月小計</v>
      </c>
      <c r="C406" s="4">
        <f>""</f>
      </c>
      <c r="D406" s="4">
        <f>""</f>
      </c>
      <c r="E406" s="4" t="str">
        <f t="shared" si="23"/>
        <v>借</v>
      </c>
      <c r="F406" s="12">
        <f>22000</f>
        <v>22000</v>
      </c>
      <c r="G406" s="12"/>
      <c r="H406" s="12">
        <f>22000</f>
        <v>22000</v>
      </c>
    </row>
    <row r="407" spans="1:8" ht="15">
      <c r="A407" s="4" t="str">
        <f>"98-09-15"</f>
        <v>98-09-15</v>
      </c>
      <c r="B407" s="4" t="str">
        <f>"VH89150001"</f>
        <v>VH89150001</v>
      </c>
      <c r="C407" s="4" t="str">
        <f>"1人監考"</f>
        <v>1人監考</v>
      </c>
      <c r="D407" s="4" t="str">
        <f>"本會"</f>
        <v>本會</v>
      </c>
      <c r="E407" s="4" t="str">
        <f t="shared" si="23"/>
        <v>借</v>
      </c>
      <c r="F407" s="12">
        <f>3000</f>
        <v>3000</v>
      </c>
      <c r="G407" s="12"/>
      <c r="H407" s="12">
        <f>25000</f>
        <v>25000</v>
      </c>
    </row>
    <row r="408" spans="1:8" ht="15">
      <c r="A408" s="4" t="str">
        <f>"98-09-15"</f>
        <v>98-09-15</v>
      </c>
      <c r="B408" s="4" t="str">
        <f>"VH89150001"</f>
        <v>VH89150001</v>
      </c>
      <c r="C408" s="4" t="str">
        <f>"7人選題"</f>
        <v>7人選題</v>
      </c>
      <c r="D408" s="4" t="str">
        <f>"本會"</f>
        <v>本會</v>
      </c>
      <c r="E408" s="4" t="str">
        <f t="shared" si="23"/>
        <v>借</v>
      </c>
      <c r="F408" s="12">
        <f>14000</f>
        <v>14000</v>
      </c>
      <c r="G408" s="12"/>
      <c r="H408" s="12">
        <f>39000</f>
        <v>39000</v>
      </c>
    </row>
    <row r="409" spans="1:8" ht="15">
      <c r="A409" s="4" t="str">
        <f>"98-09-15"</f>
        <v>98-09-15</v>
      </c>
      <c r="B409" s="4" t="str">
        <f>"VH89150001"</f>
        <v>VH89150001</v>
      </c>
      <c r="C409" s="4" t="str">
        <f>"15人出題"</f>
        <v>15人出題</v>
      </c>
      <c r="D409" s="4" t="str">
        <f>"本會"</f>
        <v>本會</v>
      </c>
      <c r="E409" s="4" t="str">
        <f t="shared" si="23"/>
        <v>借</v>
      </c>
      <c r="F409" s="12">
        <f>48000</f>
        <v>48000</v>
      </c>
      <c r="G409" s="12"/>
      <c r="H409" s="12">
        <f>87000</f>
        <v>87000</v>
      </c>
    </row>
    <row r="410" spans="1:8" ht="15">
      <c r="A410" s="4">
        <f>""</f>
      </c>
      <c r="B410" s="4" t="str">
        <f>"月小計"</f>
        <v>月小計</v>
      </c>
      <c r="C410" s="4">
        <f>""</f>
      </c>
      <c r="D410" s="4">
        <f>""</f>
      </c>
      <c r="E410" s="4" t="str">
        <f t="shared" si="23"/>
        <v>借</v>
      </c>
      <c r="F410" s="12">
        <f>65000</f>
        <v>65000</v>
      </c>
      <c r="G410" s="12"/>
      <c r="H410" s="12">
        <f>87000</f>
        <v>87000</v>
      </c>
    </row>
    <row r="411" spans="1:9" ht="15.75">
      <c r="A411" s="4">
        <f>""</f>
      </c>
      <c r="B411" s="4" t="str">
        <f>"合    計"</f>
        <v>合    計</v>
      </c>
      <c r="C411" s="4">
        <f>""</f>
      </c>
      <c r="D411" s="4">
        <f>""</f>
      </c>
      <c r="E411" s="4" t="str">
        <f t="shared" si="23"/>
        <v>借</v>
      </c>
      <c r="F411" s="12">
        <f>87000</f>
        <v>87000</v>
      </c>
      <c r="G411" s="12"/>
      <c r="H411" s="12">
        <f>87000</f>
        <v>87000</v>
      </c>
      <c r="I411" s="16" t="s">
        <v>44</v>
      </c>
    </row>
    <row r="412" spans="1:8" ht="15">
      <c r="A412" s="4">
        <f>""</f>
      </c>
      <c r="B412" s="4" t="str">
        <f>"承上期"</f>
        <v>承上期</v>
      </c>
      <c r="C412" s="4">
        <f>""</f>
      </c>
      <c r="D412" s="4">
        <f>""</f>
      </c>
      <c r="E412" s="4">
        <f>""</f>
      </c>
      <c r="F412" s="12"/>
      <c r="G412" s="12"/>
      <c r="H412" s="12"/>
    </row>
    <row r="413" spans="1:8" ht="15">
      <c r="A413" s="4" t="str">
        <f>"98-08-12"</f>
        <v>98-08-12</v>
      </c>
      <c r="B413" s="4" t="str">
        <f>"VH88120001"</f>
        <v>VH88120001</v>
      </c>
      <c r="C413" s="4" t="str">
        <f>"餐費"</f>
        <v>餐費</v>
      </c>
      <c r="D413" s="4" t="str">
        <f>"本會"</f>
        <v>本會</v>
      </c>
      <c r="E413" s="4" t="str">
        <f aca="true" t="shared" si="24" ref="E413:E425">"借"</f>
        <v>借</v>
      </c>
      <c r="F413" s="12">
        <f>765</f>
        <v>765</v>
      </c>
      <c r="G413" s="12"/>
      <c r="H413" s="12">
        <f>765</f>
        <v>765</v>
      </c>
    </row>
    <row r="414" spans="1:8" ht="15">
      <c r="A414" s="4" t="str">
        <f>"98-08-12"</f>
        <v>98-08-12</v>
      </c>
      <c r="B414" s="4" t="str">
        <f>"VH88120001"</f>
        <v>VH88120001</v>
      </c>
      <c r="C414" s="4" t="str">
        <f>"租借場地費用"</f>
        <v>租借場地費用</v>
      </c>
      <c r="D414" s="4" t="str">
        <f>"本會"</f>
        <v>本會</v>
      </c>
      <c r="E414" s="4" t="str">
        <f t="shared" si="24"/>
        <v>借</v>
      </c>
      <c r="F414" s="12">
        <f>5000</f>
        <v>5000</v>
      </c>
      <c r="G414" s="12"/>
      <c r="H414" s="12">
        <f>5765</f>
        <v>5765</v>
      </c>
    </row>
    <row r="415" spans="1:8" ht="15">
      <c r="A415" s="4" t="str">
        <f>"98-08-12"</f>
        <v>98-08-12</v>
      </c>
      <c r="B415" s="4" t="str">
        <f>"VH88120001"</f>
        <v>VH88120001</v>
      </c>
      <c r="C415" s="4" t="str">
        <f>"郵資"</f>
        <v>郵資</v>
      </c>
      <c r="D415" s="4" t="str">
        <f>"本會"</f>
        <v>本會</v>
      </c>
      <c r="E415" s="4" t="str">
        <f t="shared" si="24"/>
        <v>借</v>
      </c>
      <c r="F415" s="12">
        <f>650</f>
        <v>650</v>
      </c>
      <c r="G415" s="12"/>
      <c r="H415" s="12">
        <f>6415</f>
        <v>6415</v>
      </c>
    </row>
    <row r="416" spans="1:8" ht="15">
      <c r="A416" s="4" t="str">
        <f>"98-08-12"</f>
        <v>98-08-12</v>
      </c>
      <c r="B416" s="4" t="str">
        <f>"VH88120001"</f>
        <v>VH88120001</v>
      </c>
      <c r="C416" s="4" t="str">
        <f>"海報印製-考試流程"</f>
        <v>海報印製-考試流程</v>
      </c>
      <c r="D416" s="4" t="str">
        <f>"本會"</f>
        <v>本會</v>
      </c>
      <c r="E416" s="4" t="str">
        <f t="shared" si="24"/>
        <v>借</v>
      </c>
      <c r="F416" s="12">
        <f>880</f>
        <v>880</v>
      </c>
      <c r="G416" s="12"/>
      <c r="H416" s="12">
        <f>7295</f>
        <v>7295</v>
      </c>
    </row>
    <row r="417" spans="1:8" ht="15">
      <c r="A417" s="4" t="str">
        <f>"98-08-12"</f>
        <v>98-08-12</v>
      </c>
      <c r="B417" s="4" t="str">
        <f>"VH88120002"</f>
        <v>VH88120002</v>
      </c>
      <c r="C417" s="4" t="str">
        <f>"郵資"</f>
        <v>郵資</v>
      </c>
      <c r="D417" s="4" t="str">
        <f>"本會"</f>
        <v>本會</v>
      </c>
      <c r="E417" s="4" t="str">
        <f t="shared" si="24"/>
        <v>借</v>
      </c>
      <c r="F417" s="12">
        <f>270</f>
        <v>270</v>
      </c>
      <c r="G417" s="12"/>
      <c r="H417" s="12">
        <f>7565</f>
        <v>7565</v>
      </c>
    </row>
    <row r="418" spans="1:8" ht="15">
      <c r="A418" s="4">
        <f>""</f>
      </c>
      <c r="B418" s="4" t="str">
        <f>"月小計"</f>
        <v>月小計</v>
      </c>
      <c r="C418" s="4">
        <f>""</f>
      </c>
      <c r="D418" s="4">
        <f>""</f>
      </c>
      <c r="E418" s="4" t="str">
        <f t="shared" si="24"/>
        <v>借</v>
      </c>
      <c r="F418" s="12">
        <f>7565</f>
        <v>7565</v>
      </c>
      <c r="G418" s="12"/>
      <c r="H418" s="12">
        <f>7565</f>
        <v>7565</v>
      </c>
    </row>
    <row r="419" spans="1:8" ht="15">
      <c r="A419" s="4" t="str">
        <f>"98-09-01"</f>
        <v>98-09-01</v>
      </c>
      <c r="B419" s="4" t="str">
        <f>"VH89010001"</f>
        <v>VH89010001</v>
      </c>
      <c r="C419" s="4" t="str">
        <f>"餐費"</f>
        <v>餐費</v>
      </c>
      <c r="D419" s="4" t="str">
        <f>"本會"</f>
        <v>本會</v>
      </c>
      <c r="E419" s="4" t="str">
        <f t="shared" si="24"/>
        <v>借</v>
      </c>
      <c r="F419" s="12">
        <f>2088</f>
        <v>2088</v>
      </c>
      <c r="G419" s="12"/>
      <c r="H419" s="12">
        <f>9653</f>
        <v>9653</v>
      </c>
    </row>
    <row r="420" spans="1:8" ht="15">
      <c r="A420" s="4" t="str">
        <f>"98-09-01"</f>
        <v>98-09-01</v>
      </c>
      <c r="B420" s="4" t="str">
        <f>"VH89010001"</f>
        <v>VH89010001</v>
      </c>
      <c r="C420" s="4" t="str">
        <f>"郵資"</f>
        <v>郵資</v>
      </c>
      <c r="D420" s="4" t="str">
        <f>"本會"</f>
        <v>本會</v>
      </c>
      <c r="E420" s="4" t="str">
        <f t="shared" si="24"/>
        <v>借</v>
      </c>
      <c r="F420" s="12">
        <f>1415</f>
        <v>1415</v>
      </c>
      <c r="G420" s="12"/>
      <c r="H420" s="12">
        <f>11068</f>
        <v>11068</v>
      </c>
    </row>
    <row r="421" spans="1:8" ht="15">
      <c r="A421" s="4">
        <f>""</f>
      </c>
      <c r="B421" s="4" t="str">
        <f>"月小計"</f>
        <v>月小計</v>
      </c>
      <c r="C421" s="4">
        <f>""</f>
      </c>
      <c r="D421" s="4">
        <f>""</f>
      </c>
      <c r="E421" s="4" t="str">
        <f t="shared" si="24"/>
        <v>借</v>
      </c>
      <c r="F421" s="12">
        <f>3503</f>
        <v>3503</v>
      </c>
      <c r="G421" s="12"/>
      <c r="H421" s="12">
        <f>11068</f>
        <v>11068</v>
      </c>
    </row>
    <row r="422" spans="1:8" ht="15">
      <c r="A422" s="4" t="str">
        <f>"98-10-09"</f>
        <v>98-10-09</v>
      </c>
      <c r="B422" s="4" t="str">
        <f>"VH8A090002"</f>
        <v>VH8A090002</v>
      </c>
      <c r="C422" s="4" t="str">
        <f>"專科醫師證書費"</f>
        <v>專科醫師證書費</v>
      </c>
      <c r="D422" s="4" t="str">
        <f>"本會"</f>
        <v>本會</v>
      </c>
      <c r="E422" s="4" t="str">
        <f t="shared" si="24"/>
        <v>借</v>
      </c>
      <c r="F422" s="12">
        <f>3000</f>
        <v>3000</v>
      </c>
      <c r="G422" s="12"/>
      <c r="H422" s="12">
        <f>14068</f>
        <v>14068</v>
      </c>
    </row>
    <row r="423" spans="1:8" ht="15">
      <c r="A423" s="4" t="str">
        <f>"98-10-13"</f>
        <v>98-10-13</v>
      </c>
      <c r="B423" s="4" t="str">
        <f>"VH8A130001"</f>
        <v>VH8A130001</v>
      </c>
      <c r="C423" s="4" t="str">
        <f>"護貝"</f>
        <v>護貝</v>
      </c>
      <c r="D423" s="4" t="str">
        <f>"本會"</f>
        <v>本會</v>
      </c>
      <c r="E423" s="4" t="str">
        <f t="shared" si="24"/>
        <v>借</v>
      </c>
      <c r="F423" s="12">
        <f>1380</f>
        <v>1380</v>
      </c>
      <c r="G423" s="12"/>
      <c r="H423" s="12">
        <f>15448</f>
        <v>15448</v>
      </c>
    </row>
    <row r="424" spans="1:8" ht="15">
      <c r="A424" s="4">
        <f>""</f>
      </c>
      <c r="B424" s="4" t="str">
        <f>"月小計"</f>
        <v>月小計</v>
      </c>
      <c r="C424" s="4">
        <f>""</f>
      </c>
      <c r="D424" s="4">
        <f>""</f>
      </c>
      <c r="E424" s="4" t="str">
        <f t="shared" si="24"/>
        <v>借</v>
      </c>
      <c r="F424" s="12">
        <f>4380</f>
        <v>4380</v>
      </c>
      <c r="G424" s="12"/>
      <c r="H424" s="12">
        <f>15448</f>
        <v>15448</v>
      </c>
    </row>
    <row r="425" spans="1:9" ht="15.75">
      <c r="A425" s="4">
        <f>""</f>
      </c>
      <c r="B425" s="4" t="str">
        <f>"合    計"</f>
        <v>合    計</v>
      </c>
      <c r="C425" s="4">
        <f>""</f>
      </c>
      <c r="D425" s="4">
        <f>""</f>
      </c>
      <c r="E425" s="4" t="str">
        <f t="shared" si="24"/>
        <v>借</v>
      </c>
      <c r="F425" s="12">
        <f>15448</f>
        <v>15448</v>
      </c>
      <c r="G425" s="12"/>
      <c r="H425" s="12">
        <f>15448</f>
        <v>15448</v>
      </c>
      <c r="I425" s="16" t="s">
        <v>33</v>
      </c>
    </row>
    <row r="426" spans="1:8" ht="15">
      <c r="A426" s="4">
        <f>""</f>
      </c>
      <c r="B426" s="4" t="str">
        <f>"承上期"</f>
        <v>承上期</v>
      </c>
      <c r="C426" s="4">
        <f>""</f>
      </c>
      <c r="D426" s="4">
        <f>""</f>
      </c>
      <c r="E426" s="4">
        <f>""</f>
      </c>
      <c r="F426" s="12"/>
      <c r="G426" s="12"/>
      <c r="H426" s="12"/>
    </row>
    <row r="427" spans="1:8" ht="15">
      <c r="A427" s="4" t="str">
        <f>"98-08-12"</f>
        <v>98-08-12</v>
      </c>
      <c r="B427" s="4" t="str">
        <f>"VH88120001"</f>
        <v>VH88120001</v>
      </c>
      <c r="C427" s="4" t="str">
        <f>"第6屆甄審會議車資"</f>
        <v>第6屆甄審會議車資</v>
      </c>
      <c r="D427" s="4" t="str">
        <f>"本會"</f>
        <v>本會</v>
      </c>
      <c r="E427" s="4" t="str">
        <f>"借"</f>
        <v>借</v>
      </c>
      <c r="F427" s="12">
        <f>500</f>
        <v>500</v>
      </c>
      <c r="G427" s="12"/>
      <c r="H427" s="12">
        <f>500</f>
        <v>500</v>
      </c>
    </row>
    <row r="428" spans="1:8" ht="15">
      <c r="A428" s="4">
        <f>""</f>
      </c>
      <c r="B428" s="4" t="str">
        <f>"月小計"</f>
        <v>月小計</v>
      </c>
      <c r="C428" s="4">
        <f>""</f>
      </c>
      <c r="D428" s="4">
        <f>""</f>
      </c>
      <c r="E428" s="4" t="str">
        <f>"借"</f>
        <v>借</v>
      </c>
      <c r="F428" s="12">
        <f>500</f>
        <v>500</v>
      </c>
      <c r="G428" s="12"/>
      <c r="H428" s="12">
        <f>500</f>
        <v>500</v>
      </c>
    </row>
    <row r="429" spans="1:8" ht="15">
      <c r="A429" s="4" t="str">
        <f>"98-09-30"</f>
        <v>98-09-30</v>
      </c>
      <c r="B429" s="4" t="str">
        <f>"VH89300001"</f>
        <v>VH89300001</v>
      </c>
      <c r="C429" s="4" t="str">
        <f>"車資"</f>
        <v>車資</v>
      </c>
      <c r="D429" s="4" t="str">
        <f>"本會"</f>
        <v>本會</v>
      </c>
      <c r="E429" s="4" t="str">
        <f>"借"</f>
        <v>借</v>
      </c>
      <c r="F429" s="12">
        <f>2755</f>
        <v>2755</v>
      </c>
      <c r="G429" s="12"/>
      <c r="H429" s="12">
        <f>3255</f>
        <v>3255</v>
      </c>
    </row>
    <row r="430" spans="1:8" ht="15">
      <c r="A430" s="4">
        <f>""</f>
      </c>
      <c r="B430" s="4" t="str">
        <f>"月小計"</f>
        <v>月小計</v>
      </c>
      <c r="C430" s="4">
        <f>""</f>
      </c>
      <c r="D430" s="4">
        <f>""</f>
      </c>
      <c r="E430" s="4" t="str">
        <f>"借"</f>
        <v>借</v>
      </c>
      <c r="F430" s="12">
        <f>2755</f>
        <v>2755</v>
      </c>
      <c r="G430" s="12"/>
      <c r="H430" s="12">
        <f>3255</f>
        <v>3255</v>
      </c>
    </row>
    <row r="431" spans="1:9" ht="15.75">
      <c r="A431" s="4">
        <f>""</f>
      </c>
      <c r="B431" s="4" t="str">
        <f>"合    計"</f>
        <v>合    計</v>
      </c>
      <c r="C431" s="4">
        <f>""</f>
      </c>
      <c r="D431" s="4">
        <f>""</f>
      </c>
      <c r="E431" s="4" t="str">
        <f>"借"</f>
        <v>借</v>
      </c>
      <c r="F431" s="12">
        <f>3255</f>
        <v>3255</v>
      </c>
      <c r="G431" s="12"/>
      <c r="H431" s="12">
        <f>3255</f>
        <v>3255</v>
      </c>
      <c r="I431" s="16" t="s">
        <v>45</v>
      </c>
    </row>
    <row r="432" spans="1:8" ht="15">
      <c r="A432" s="4">
        <f>""</f>
      </c>
      <c r="B432" s="4" t="str">
        <f>"承上期"</f>
        <v>承上期</v>
      </c>
      <c r="C432" s="4">
        <f>""</f>
      </c>
      <c r="D432" s="4">
        <f>""</f>
      </c>
      <c r="E432" s="4">
        <f>""</f>
      </c>
      <c r="F432" s="12"/>
      <c r="G432" s="12"/>
      <c r="H432" s="12"/>
    </row>
    <row r="433" spans="1:8" ht="15">
      <c r="A433" s="4" t="str">
        <f>"98-10-09"</f>
        <v>98-10-09</v>
      </c>
      <c r="B433" s="4" t="str">
        <f>"VH8A090002"</f>
        <v>VH8A090002</v>
      </c>
      <c r="C433" s="4" t="str">
        <f>"論文獎審稿費"</f>
        <v>論文獎審稿費</v>
      </c>
      <c r="D433" s="4" t="str">
        <f>"本會"</f>
        <v>本會</v>
      </c>
      <c r="E433" s="4" t="str">
        <f>"借"</f>
        <v>借</v>
      </c>
      <c r="F433" s="12">
        <f>22500</f>
        <v>22500</v>
      </c>
      <c r="G433" s="12"/>
      <c r="H433" s="12">
        <f>22500</f>
        <v>22500</v>
      </c>
    </row>
    <row r="434" spans="1:8" ht="15">
      <c r="A434" s="4">
        <f>""</f>
      </c>
      <c r="B434" s="4" t="str">
        <f>"月小計"</f>
        <v>月小計</v>
      </c>
      <c r="C434" s="4">
        <f>""</f>
      </c>
      <c r="D434" s="4">
        <f>""</f>
      </c>
      <c r="E434" s="4" t="str">
        <f>"借"</f>
        <v>借</v>
      </c>
      <c r="F434" s="12">
        <f>22500</f>
        <v>22500</v>
      </c>
      <c r="G434" s="12"/>
      <c r="H434" s="12">
        <f>22500</f>
        <v>22500</v>
      </c>
    </row>
    <row r="435" spans="1:9" ht="15.75">
      <c r="A435" s="4">
        <f>""</f>
      </c>
      <c r="B435" s="4" t="str">
        <f>"合    計"</f>
        <v>合    計</v>
      </c>
      <c r="C435" s="4">
        <f>""</f>
      </c>
      <c r="D435" s="4">
        <f>""</f>
      </c>
      <c r="E435" s="4" t="str">
        <f>"借"</f>
        <v>借</v>
      </c>
      <c r="F435" s="12">
        <f>22500</f>
        <v>22500</v>
      </c>
      <c r="G435" s="12"/>
      <c r="H435" s="12">
        <f>22500</f>
        <v>22500</v>
      </c>
      <c r="I435" s="16" t="s">
        <v>34</v>
      </c>
    </row>
    <row r="436" spans="1:8" ht="15">
      <c r="A436" s="4">
        <f>""</f>
      </c>
      <c r="B436" s="4" t="str">
        <f>"承上期"</f>
        <v>承上期</v>
      </c>
      <c r="C436" s="4">
        <f>""</f>
      </c>
      <c r="D436" s="4">
        <f>""</f>
      </c>
      <c r="E436" s="4">
        <f>""</f>
      </c>
      <c r="F436" s="12"/>
      <c r="G436" s="12"/>
      <c r="H436" s="12"/>
    </row>
    <row r="437" spans="1:8" ht="15">
      <c r="A437" s="4" t="str">
        <f>"98-11-11"</f>
        <v>98-11-11</v>
      </c>
      <c r="B437" s="4" t="str">
        <f>"VH8B110002"</f>
        <v>VH8B110002</v>
      </c>
      <c r="C437" s="4" t="str">
        <f>"9人"</f>
        <v>9人</v>
      </c>
      <c r="D437" s="4" t="str">
        <f>"本會"</f>
        <v>本會</v>
      </c>
      <c r="E437" s="4" t="str">
        <f>"借"</f>
        <v>借</v>
      </c>
      <c r="F437" s="12">
        <f>2700</f>
        <v>2700</v>
      </c>
      <c r="G437" s="12"/>
      <c r="H437" s="12">
        <f>2700</f>
        <v>2700</v>
      </c>
    </row>
    <row r="438" spans="1:8" ht="15">
      <c r="A438" s="4">
        <f>""</f>
      </c>
      <c r="B438" s="4" t="str">
        <f>"月小計"</f>
        <v>月小計</v>
      </c>
      <c r="C438" s="4">
        <f>""</f>
      </c>
      <c r="D438" s="4">
        <f>""</f>
      </c>
      <c r="E438" s="4" t="str">
        <f>"借"</f>
        <v>借</v>
      </c>
      <c r="F438" s="12">
        <f>2700</f>
        <v>2700</v>
      </c>
      <c r="G438" s="12"/>
      <c r="H438" s="12">
        <f>2700</f>
        <v>2700</v>
      </c>
    </row>
    <row r="439" spans="1:9" ht="15.75">
      <c r="A439" s="4">
        <f>""</f>
      </c>
      <c r="B439" s="4" t="str">
        <f>"合    計"</f>
        <v>合    計</v>
      </c>
      <c r="C439" s="4">
        <f>""</f>
      </c>
      <c r="D439" s="4">
        <f>""</f>
      </c>
      <c r="E439" s="4" t="str">
        <f>"借"</f>
        <v>借</v>
      </c>
      <c r="F439" s="12">
        <f>2700</f>
        <v>2700</v>
      </c>
      <c r="G439" s="12"/>
      <c r="H439" s="12">
        <f>2700</f>
        <v>2700</v>
      </c>
      <c r="I439" s="16" t="s">
        <v>46</v>
      </c>
    </row>
    <row r="440" spans="1:8" ht="15">
      <c r="A440" s="4">
        <f>""</f>
      </c>
      <c r="B440" s="4" t="str">
        <f>"承上期"</f>
        <v>承上期</v>
      </c>
      <c r="C440" s="4">
        <f>""</f>
      </c>
      <c r="D440" s="4">
        <f>""</f>
      </c>
      <c r="E440" s="4">
        <f>""</f>
      </c>
      <c r="F440" s="12"/>
      <c r="G440" s="12"/>
      <c r="H440" s="12"/>
    </row>
    <row r="441" spans="1:8" ht="15">
      <c r="A441" s="4" t="str">
        <f>"98-03-13"</f>
        <v>98-03-13</v>
      </c>
      <c r="B441" s="4" t="str">
        <f>"VH83130002"</f>
        <v>VH83130002</v>
      </c>
      <c r="C441" s="4" t="str">
        <f>"3/8工作人員費 (5人)"</f>
        <v>3/8工作人員費 (5人)</v>
      </c>
      <c r="D441" s="4" t="str">
        <f>"本會"</f>
        <v>本會</v>
      </c>
      <c r="E441" s="4" t="str">
        <f aca="true" t="shared" si="25" ref="E441:E446">"借"</f>
        <v>借</v>
      </c>
      <c r="F441" s="12">
        <f>4000</f>
        <v>4000</v>
      </c>
      <c r="G441" s="12"/>
      <c r="H441" s="12">
        <f>4000</f>
        <v>4000</v>
      </c>
    </row>
    <row r="442" spans="1:8" ht="15">
      <c r="A442" s="4">
        <f>""</f>
      </c>
      <c r="B442" s="4" t="str">
        <f>"月小計"</f>
        <v>月小計</v>
      </c>
      <c r="C442" s="4">
        <f>""</f>
      </c>
      <c r="D442" s="4">
        <f>""</f>
      </c>
      <c r="E442" s="4" t="str">
        <f t="shared" si="25"/>
        <v>借</v>
      </c>
      <c r="F442" s="12">
        <f>4000</f>
        <v>4000</v>
      </c>
      <c r="G442" s="12"/>
      <c r="H442" s="12">
        <f>4000</f>
        <v>4000</v>
      </c>
    </row>
    <row r="443" spans="1:8" ht="15">
      <c r="A443" s="4" t="str">
        <f>"98-11-11"</f>
        <v>98-11-11</v>
      </c>
      <c r="B443" s="4" t="str">
        <f>"VH8B110002"</f>
        <v>VH8B110002</v>
      </c>
      <c r="C443" s="4" t="str">
        <f>"工作人員費用(9人)"</f>
        <v>工作人員費用(9人)</v>
      </c>
      <c r="D443" s="4" t="str">
        <f>"本會"</f>
        <v>本會</v>
      </c>
      <c r="E443" s="4" t="str">
        <f t="shared" si="25"/>
        <v>借</v>
      </c>
      <c r="F443" s="12">
        <f>10800</f>
        <v>10800</v>
      </c>
      <c r="G443" s="12"/>
      <c r="H443" s="12">
        <f>14800</f>
        <v>14800</v>
      </c>
    </row>
    <row r="444" spans="1:8" ht="15">
      <c r="A444" s="4" t="str">
        <f>"98-11-11"</f>
        <v>98-11-11</v>
      </c>
      <c r="B444" s="4" t="str">
        <f>"VH8B110002"</f>
        <v>VH8B110002</v>
      </c>
      <c r="C444" s="4" t="str">
        <f>"工作人員費用(6人)"</f>
        <v>工作人員費用(6人)</v>
      </c>
      <c r="D444" s="4" t="str">
        <f>"本會"</f>
        <v>本會</v>
      </c>
      <c r="E444" s="4" t="str">
        <f t="shared" si="25"/>
        <v>借</v>
      </c>
      <c r="F444" s="12">
        <f>12000</f>
        <v>12000</v>
      </c>
      <c r="G444" s="12"/>
      <c r="H444" s="12">
        <f>26800</f>
        <v>26800</v>
      </c>
    </row>
    <row r="445" spans="1:8" ht="15">
      <c r="A445" s="4">
        <f>""</f>
      </c>
      <c r="B445" s="4" t="str">
        <f>"月小計"</f>
        <v>月小計</v>
      </c>
      <c r="C445" s="4">
        <f>""</f>
      </c>
      <c r="D445" s="4">
        <f>""</f>
      </c>
      <c r="E445" s="4" t="str">
        <f t="shared" si="25"/>
        <v>借</v>
      </c>
      <c r="F445" s="12">
        <f>22800</f>
        <v>22800</v>
      </c>
      <c r="G445" s="12"/>
      <c r="H445" s="12">
        <f>26800</f>
        <v>26800</v>
      </c>
    </row>
    <row r="446" spans="1:9" ht="15.75">
      <c r="A446" s="4">
        <f>""</f>
      </c>
      <c r="B446" s="4" t="str">
        <f>"合    計"</f>
        <v>合    計</v>
      </c>
      <c r="C446" s="4">
        <f>""</f>
      </c>
      <c r="D446" s="4">
        <f>""</f>
      </c>
      <c r="E446" s="4" t="str">
        <f t="shared" si="25"/>
        <v>借</v>
      </c>
      <c r="F446" s="12">
        <f>26800</f>
        <v>26800</v>
      </c>
      <c r="G446" s="12"/>
      <c r="H446" s="12">
        <f>26800</f>
        <v>26800</v>
      </c>
      <c r="I446" s="16" t="s">
        <v>35</v>
      </c>
    </row>
    <row r="447" spans="1:8" ht="15">
      <c r="A447" s="4">
        <f>""</f>
      </c>
      <c r="B447" s="4" t="str">
        <f>"承上期"</f>
        <v>承上期</v>
      </c>
      <c r="C447" s="4">
        <f>""</f>
      </c>
      <c r="D447" s="4">
        <f>""</f>
      </c>
      <c r="E447" s="4">
        <f>""</f>
      </c>
      <c r="F447" s="12"/>
      <c r="G447" s="12"/>
      <c r="H447" s="12"/>
    </row>
    <row r="448" spans="1:8" ht="15">
      <c r="A448" s="4" t="str">
        <f>"98-03-13"</f>
        <v>98-03-13</v>
      </c>
      <c r="B448" s="4" t="str">
        <f>"VH83130002"</f>
        <v>VH83130002</v>
      </c>
      <c r="C448" s="4" t="str">
        <f>"3/8億婷加班"</f>
        <v>3/8億婷加班</v>
      </c>
      <c r="D448" s="4" t="str">
        <f>"本會"</f>
        <v>本會</v>
      </c>
      <c r="E448" s="4" t="str">
        <f>"借"</f>
        <v>借</v>
      </c>
      <c r="F448" s="12">
        <f>1000</f>
        <v>1000</v>
      </c>
      <c r="G448" s="12"/>
      <c r="H448" s="12">
        <f>1000</f>
        <v>1000</v>
      </c>
    </row>
    <row r="449" spans="1:8" ht="15">
      <c r="A449" s="4">
        <f>""</f>
      </c>
      <c r="B449" s="4" t="str">
        <f>"月小計"</f>
        <v>月小計</v>
      </c>
      <c r="C449" s="4">
        <f>""</f>
      </c>
      <c r="D449" s="4">
        <f>""</f>
      </c>
      <c r="E449" s="4" t="str">
        <f>"借"</f>
        <v>借</v>
      </c>
      <c r="F449" s="12">
        <f>1000</f>
        <v>1000</v>
      </c>
      <c r="G449" s="12"/>
      <c r="H449" s="12">
        <f>1000</f>
        <v>1000</v>
      </c>
    </row>
    <row r="450" spans="1:8" ht="15">
      <c r="A450" s="4" t="str">
        <f>"98-11-11"</f>
        <v>98-11-11</v>
      </c>
      <c r="B450" s="4" t="str">
        <f>"VH8B110002"</f>
        <v>VH8B110002</v>
      </c>
      <c r="C450" s="4" t="str">
        <f>"簡憶婷"</f>
        <v>簡憶婷</v>
      </c>
      <c r="D450" s="4" t="str">
        <f>"本會"</f>
        <v>本會</v>
      </c>
      <c r="E450" s="4" t="str">
        <f>"借"</f>
        <v>借</v>
      </c>
      <c r="F450" s="12">
        <f>2000</f>
        <v>2000</v>
      </c>
      <c r="G450" s="12"/>
      <c r="H450" s="12">
        <f>3000</f>
        <v>3000</v>
      </c>
    </row>
    <row r="451" spans="1:8" ht="15">
      <c r="A451" s="4">
        <f>""</f>
      </c>
      <c r="B451" s="4" t="str">
        <f>"月小計"</f>
        <v>月小計</v>
      </c>
      <c r="C451" s="4">
        <f>""</f>
      </c>
      <c r="D451" s="4">
        <f>""</f>
      </c>
      <c r="E451" s="4" t="str">
        <f>"借"</f>
        <v>借</v>
      </c>
      <c r="F451" s="12">
        <f>2000</f>
        <v>2000</v>
      </c>
      <c r="G451" s="12"/>
      <c r="H451" s="12">
        <f>3000</f>
        <v>3000</v>
      </c>
    </row>
    <row r="452" spans="1:9" ht="15.75">
      <c r="A452" s="4">
        <f>""</f>
      </c>
      <c r="B452" s="4" t="str">
        <f>"合    計"</f>
        <v>合    計</v>
      </c>
      <c r="C452" s="4">
        <f>""</f>
      </c>
      <c r="D452" s="4">
        <f>""</f>
      </c>
      <c r="E452" s="4" t="str">
        <f>"借"</f>
        <v>借</v>
      </c>
      <c r="F452" s="12">
        <f>3000</f>
        <v>3000</v>
      </c>
      <c r="G452" s="12"/>
      <c r="H452" s="12">
        <f>3000</f>
        <v>3000</v>
      </c>
      <c r="I452" s="16" t="s">
        <v>36</v>
      </c>
    </row>
    <row r="453" spans="1:8" ht="15">
      <c r="A453" s="4">
        <f>""</f>
      </c>
      <c r="B453" s="4" t="str">
        <f>"承上期"</f>
        <v>承上期</v>
      </c>
      <c r="C453" s="4">
        <f>""</f>
      </c>
      <c r="D453" s="4">
        <f>""</f>
      </c>
      <c r="E453" s="4">
        <f>""</f>
      </c>
      <c r="F453" s="12"/>
      <c r="G453" s="12"/>
      <c r="H453" s="12"/>
    </row>
    <row r="454" spans="1:8" ht="15">
      <c r="A454" s="4" t="str">
        <f>"98-11-11"</f>
        <v>98-11-11</v>
      </c>
      <c r="B454" s="4" t="str">
        <f>"VH8B110001"</f>
        <v>VH8B110001</v>
      </c>
      <c r="C454" s="4" t="str">
        <f>"論文獎學金(9人)"</f>
        <v>論文獎學金(9人)</v>
      </c>
      <c r="D454" s="4" t="str">
        <f>"本會"</f>
        <v>本會</v>
      </c>
      <c r="E454" s="4" t="str">
        <f aca="true" t="shared" si="26" ref="E454:E463">"借"</f>
        <v>借</v>
      </c>
      <c r="F454" s="12">
        <f>90000</f>
        <v>90000</v>
      </c>
      <c r="G454" s="12"/>
      <c r="H454" s="12">
        <f>90000</f>
        <v>90000</v>
      </c>
    </row>
    <row r="455" spans="1:8" ht="15">
      <c r="A455" s="4" t="str">
        <f>"98-11-11"</f>
        <v>98-11-11</v>
      </c>
      <c r="B455" s="4" t="str">
        <f>"VH8B110001"</f>
        <v>VH8B110001</v>
      </c>
      <c r="C455" s="4" t="str">
        <f>"簡憶婷會刊編輯"</f>
        <v>簡憶婷會刊編輯</v>
      </c>
      <c r="D455" s="4" t="str">
        <f>"本會"</f>
        <v>本會</v>
      </c>
      <c r="E455" s="4" t="str">
        <f t="shared" si="26"/>
        <v>借</v>
      </c>
      <c r="F455" s="12">
        <f>4000</f>
        <v>4000</v>
      </c>
      <c r="G455" s="12"/>
      <c r="H455" s="12">
        <f>94000</f>
        <v>94000</v>
      </c>
    </row>
    <row r="456" spans="1:8" ht="15">
      <c r="A456" s="4" t="str">
        <f>"98-11-25"</f>
        <v>98-11-25</v>
      </c>
      <c r="B456" s="4" t="str">
        <f>"VH8B250001"</f>
        <v>VH8B250001</v>
      </c>
      <c r="C456" s="4" t="str">
        <f>"餐飲費"</f>
        <v>餐飲費</v>
      </c>
      <c r="D456" s="4" t="str">
        <f>"本會"</f>
        <v>本會</v>
      </c>
      <c r="E456" s="4" t="str">
        <f t="shared" si="26"/>
        <v>借</v>
      </c>
      <c r="F456" s="12">
        <f>25650</f>
        <v>25650</v>
      </c>
      <c r="G456" s="12"/>
      <c r="H456" s="12">
        <f>119650</f>
        <v>119650</v>
      </c>
    </row>
    <row r="457" spans="1:8" ht="15">
      <c r="A457" s="4" t="str">
        <f>"98-11-25"</f>
        <v>98-11-25</v>
      </c>
      <c r="B457" s="4" t="str">
        <f>"VH8B250001"</f>
        <v>VH8B250001</v>
      </c>
      <c r="C457" s="4" t="str">
        <f>"工作人員便當"</f>
        <v>工作人員便當</v>
      </c>
      <c r="D457" s="4" t="str">
        <f>"本會"</f>
        <v>本會</v>
      </c>
      <c r="E457" s="4" t="str">
        <f t="shared" si="26"/>
        <v>借</v>
      </c>
      <c r="F457" s="12">
        <f>1600</f>
        <v>1600</v>
      </c>
      <c r="G457" s="12"/>
      <c r="H457" s="12">
        <f>121250</f>
        <v>121250</v>
      </c>
    </row>
    <row r="458" spans="1:8" ht="15">
      <c r="A458" s="4" t="str">
        <f>"98-11-25"</f>
        <v>98-11-25</v>
      </c>
      <c r="B458" s="4" t="str">
        <f>"VH8B250001"</f>
        <v>VH8B250001</v>
      </c>
      <c r="C458" s="4" t="str">
        <f>"晚宴-餐飲費"</f>
        <v>晚宴-餐飲費</v>
      </c>
      <c r="D458" s="4" t="str">
        <f>"本會"</f>
        <v>本會</v>
      </c>
      <c r="E458" s="4" t="str">
        <f t="shared" si="26"/>
        <v>借</v>
      </c>
      <c r="F458" s="12">
        <f>29457</f>
        <v>29457</v>
      </c>
      <c r="G458" s="12"/>
      <c r="H458" s="12">
        <f>150707</f>
        <v>150707</v>
      </c>
    </row>
    <row r="459" spans="1:8" ht="15">
      <c r="A459" s="4">
        <f>""</f>
      </c>
      <c r="B459" s="4" t="str">
        <f>"月小計"</f>
        <v>月小計</v>
      </c>
      <c r="C459" s="4">
        <f>""</f>
      </c>
      <c r="D459" s="4">
        <f>""</f>
      </c>
      <c r="E459" s="4" t="str">
        <f t="shared" si="26"/>
        <v>借</v>
      </c>
      <c r="F459" s="12">
        <f>150707</f>
        <v>150707</v>
      </c>
      <c r="G459" s="12"/>
      <c r="H459" s="12">
        <f>150707</f>
        <v>150707</v>
      </c>
    </row>
    <row r="460" spans="1:8" ht="15">
      <c r="A460" s="4" t="str">
        <f>"98-12-29"</f>
        <v>98-12-29</v>
      </c>
      <c r="B460" s="4" t="str">
        <f>"VH8C290001"</f>
        <v>VH8C290001</v>
      </c>
      <c r="C460" s="4" t="str">
        <f>"場地租金"</f>
        <v>場地租金</v>
      </c>
      <c r="D460" s="4" t="str">
        <f>"本會"</f>
        <v>本會</v>
      </c>
      <c r="E460" s="4" t="str">
        <f t="shared" si="26"/>
        <v>借</v>
      </c>
      <c r="F460" s="12">
        <f>61400</f>
        <v>61400</v>
      </c>
      <c r="G460" s="12"/>
      <c r="H460" s="12">
        <f>212107</f>
        <v>212107</v>
      </c>
    </row>
    <row r="461" spans="1:8" ht="15">
      <c r="A461" s="4" t="str">
        <f>"98-12-31"</f>
        <v>98-12-31</v>
      </c>
      <c r="B461" s="4" t="str">
        <f>"VH8C310001"</f>
        <v>VH8C310001</v>
      </c>
      <c r="C461" s="4" t="str">
        <f>"年會各項執行費"</f>
        <v>年會各項執行費</v>
      </c>
      <c r="D461" s="4" t="str">
        <f>"本會"</f>
        <v>本會</v>
      </c>
      <c r="E461" s="4" t="str">
        <f t="shared" si="26"/>
        <v>借</v>
      </c>
      <c r="F461" s="12">
        <f>312459</f>
        <v>312459</v>
      </c>
      <c r="G461" s="12"/>
      <c r="H461" s="12">
        <f>524566</f>
        <v>524566</v>
      </c>
    </row>
    <row r="462" spans="1:8" ht="15">
      <c r="A462" s="4">
        <f>""</f>
      </c>
      <c r="B462" s="4" t="str">
        <f>"月小計"</f>
        <v>月小計</v>
      </c>
      <c r="C462" s="4">
        <f>""</f>
      </c>
      <c r="D462" s="4">
        <f>""</f>
      </c>
      <c r="E462" s="4" t="str">
        <f t="shared" si="26"/>
        <v>借</v>
      </c>
      <c r="F462" s="12">
        <f>373859</f>
        <v>373859</v>
      </c>
      <c r="G462" s="12"/>
      <c r="H462" s="12">
        <f>524566</f>
        <v>524566</v>
      </c>
    </row>
    <row r="463" spans="1:9" ht="15.75">
      <c r="A463" s="4">
        <f>""</f>
      </c>
      <c r="B463" s="4" t="str">
        <f>"合    計"</f>
        <v>合    計</v>
      </c>
      <c r="C463" s="4">
        <f>""</f>
      </c>
      <c r="D463" s="4">
        <f>""</f>
      </c>
      <c r="E463" s="4" t="str">
        <f t="shared" si="26"/>
        <v>借</v>
      </c>
      <c r="F463" s="12">
        <f>524566</f>
        <v>524566</v>
      </c>
      <c r="G463" s="12"/>
      <c r="H463" s="12">
        <f>524566</f>
        <v>524566</v>
      </c>
      <c r="I463" s="16" t="s">
        <v>47</v>
      </c>
    </row>
    <row r="464" spans="1:8" ht="15">
      <c r="A464" s="4">
        <f>""</f>
      </c>
      <c r="B464" s="4" t="str">
        <f>"承上期"</f>
        <v>承上期</v>
      </c>
      <c r="C464" s="4">
        <f>""</f>
      </c>
      <c r="D464" s="4">
        <f>""</f>
      </c>
      <c r="E464" s="4">
        <f>""</f>
      </c>
      <c r="F464" s="12"/>
      <c r="G464" s="12"/>
      <c r="H464" s="12"/>
    </row>
    <row r="465" spans="1:8" ht="15">
      <c r="A465" s="4" t="str">
        <f>"98-01-23"</f>
        <v>98-01-23</v>
      </c>
      <c r="B465" s="4" t="str">
        <f>"VH81230002"</f>
        <v>VH81230002</v>
      </c>
      <c r="C465" s="4" t="str">
        <f>"*561-563"</f>
        <v>*561-563</v>
      </c>
      <c r="D465" s="4" t="str">
        <f>"本會"</f>
        <v>本會</v>
      </c>
      <c r="E465" s="4" t="str">
        <f aca="true" t="shared" si="27" ref="E465:E510">"借"</f>
        <v>借</v>
      </c>
      <c r="F465" s="12">
        <f>80</f>
        <v>80</v>
      </c>
      <c r="G465" s="12"/>
      <c r="H465" s="12">
        <f>80</f>
        <v>80</v>
      </c>
    </row>
    <row r="466" spans="1:8" ht="15">
      <c r="A466" s="4">
        <f>""</f>
      </c>
      <c r="B466" s="4" t="str">
        <f>"月小計"</f>
        <v>月小計</v>
      </c>
      <c r="C466" s="4">
        <f>""</f>
      </c>
      <c r="D466" s="4">
        <f>""</f>
      </c>
      <c r="E466" s="4" t="str">
        <f t="shared" si="27"/>
        <v>借</v>
      </c>
      <c r="F466" s="12">
        <f>80</f>
        <v>80</v>
      </c>
      <c r="G466" s="12"/>
      <c r="H466" s="12">
        <f>80</f>
        <v>80</v>
      </c>
    </row>
    <row r="467" spans="1:8" ht="15">
      <c r="A467" s="4" t="str">
        <f>"98-02-03"</f>
        <v>98-02-03</v>
      </c>
      <c r="B467" s="4" t="str">
        <f>"VH82030002"</f>
        <v>VH82030002</v>
      </c>
      <c r="C467" s="4" t="str">
        <f>"匯費"</f>
        <v>匯費</v>
      </c>
      <c r="D467" s="4" t="str">
        <f>"本會"</f>
        <v>本會</v>
      </c>
      <c r="E467" s="4" t="str">
        <f t="shared" si="27"/>
        <v>借</v>
      </c>
      <c r="F467" s="12">
        <f>30</f>
        <v>30</v>
      </c>
      <c r="G467" s="12"/>
      <c r="H467" s="12">
        <f>110</f>
        <v>110</v>
      </c>
    </row>
    <row r="468" spans="1:8" ht="15">
      <c r="A468" s="4" t="str">
        <f>"98-02-10"</f>
        <v>98-02-10</v>
      </c>
      <c r="B468" s="4" t="str">
        <f>"VH82100001"</f>
        <v>VH82100001</v>
      </c>
      <c r="C468" s="4" t="str">
        <f>"*564-567"</f>
        <v>*564-567</v>
      </c>
      <c r="D468" s="4" t="str">
        <f>"本會"</f>
        <v>本會</v>
      </c>
      <c r="E468" s="4" t="str">
        <f t="shared" si="27"/>
        <v>借</v>
      </c>
      <c r="F468" s="12">
        <f>55</f>
        <v>55</v>
      </c>
      <c r="G468" s="12"/>
      <c r="H468" s="12">
        <f>165</f>
        <v>165</v>
      </c>
    </row>
    <row r="469" spans="1:8" ht="15">
      <c r="A469" s="4" t="str">
        <f>"98-02-16"</f>
        <v>98-02-16</v>
      </c>
      <c r="B469" s="4" t="str">
        <f>"VH82160002"</f>
        <v>VH82160002</v>
      </c>
      <c r="C469" s="4" t="str">
        <f>"衛生紙"</f>
        <v>衛生紙</v>
      </c>
      <c r="D469" s="4" t="str">
        <f>"本會"</f>
        <v>本會</v>
      </c>
      <c r="E469" s="4" t="str">
        <f t="shared" si="27"/>
        <v>借</v>
      </c>
      <c r="F469" s="12">
        <f>239</f>
        <v>239</v>
      </c>
      <c r="G469" s="12"/>
      <c r="H469" s="12">
        <f>404</f>
        <v>404</v>
      </c>
    </row>
    <row r="470" spans="1:8" ht="15">
      <c r="A470" s="4" t="str">
        <f>"98-02-26"</f>
        <v>98-02-26</v>
      </c>
      <c r="B470" s="4" t="str">
        <f>"VH82260001"</f>
        <v>VH82260001</v>
      </c>
      <c r="C470" s="4" t="str">
        <f>"*568-572"</f>
        <v>*568-572</v>
      </c>
      <c r="D470" s="4" t="str">
        <f>"本會"</f>
        <v>本會</v>
      </c>
      <c r="E470" s="4" t="str">
        <f t="shared" si="27"/>
        <v>借</v>
      </c>
      <c r="F470" s="12">
        <f>90</f>
        <v>90</v>
      </c>
      <c r="G470" s="12"/>
      <c r="H470" s="12">
        <f>494</f>
        <v>494</v>
      </c>
    </row>
    <row r="471" spans="1:8" ht="15">
      <c r="A471" s="4">
        <f>""</f>
      </c>
      <c r="B471" s="4" t="str">
        <f>"月小計"</f>
        <v>月小計</v>
      </c>
      <c r="C471" s="4">
        <f>""</f>
      </c>
      <c r="D471" s="4">
        <f>""</f>
      </c>
      <c r="E471" s="4" t="str">
        <f t="shared" si="27"/>
        <v>借</v>
      </c>
      <c r="F471" s="12">
        <f>414</f>
        <v>414</v>
      </c>
      <c r="G471" s="12"/>
      <c r="H471" s="12">
        <f>494</f>
        <v>494</v>
      </c>
    </row>
    <row r="472" spans="1:8" ht="15">
      <c r="A472" s="4" t="str">
        <f>"98-03-13"</f>
        <v>98-03-13</v>
      </c>
      <c r="B472" s="4" t="str">
        <f>"VH83130002"</f>
        <v>VH83130002</v>
      </c>
      <c r="C472" s="4" t="str">
        <f>"紙袋"</f>
        <v>紙袋</v>
      </c>
      <c r="D472" s="4" t="str">
        <f>"本會"</f>
        <v>本會</v>
      </c>
      <c r="E472" s="4" t="str">
        <f t="shared" si="27"/>
        <v>借</v>
      </c>
      <c r="F472" s="12">
        <f>6900</f>
        <v>6900</v>
      </c>
      <c r="G472" s="12"/>
      <c r="H472" s="12">
        <f>7394</f>
        <v>7394</v>
      </c>
    </row>
    <row r="473" spans="1:8" ht="15">
      <c r="A473" s="4" t="str">
        <f>"98-03-24"</f>
        <v>98-03-24</v>
      </c>
      <c r="B473" s="4" t="str">
        <f>"VH83240002"</f>
        <v>VH83240002</v>
      </c>
      <c r="C473" s="4" t="str">
        <f>"匯費"</f>
        <v>匯費</v>
      </c>
      <c r="D473" s="4" t="str">
        <f>"本會"</f>
        <v>本會</v>
      </c>
      <c r="E473" s="4" t="str">
        <f t="shared" si="27"/>
        <v>借</v>
      </c>
      <c r="F473" s="12">
        <f>30</f>
        <v>30</v>
      </c>
      <c r="G473" s="12"/>
      <c r="H473" s="12">
        <f>7424</f>
        <v>7424</v>
      </c>
    </row>
    <row r="474" spans="1:8" ht="15">
      <c r="A474" s="4" t="str">
        <f>"98-03-24"</f>
        <v>98-03-24</v>
      </c>
      <c r="B474" s="4" t="str">
        <f>"VH83240002"</f>
        <v>VH83240002</v>
      </c>
      <c r="C474" s="4" t="str">
        <f>"匯費"</f>
        <v>匯費</v>
      </c>
      <c r="D474" s="4" t="str">
        <f>"本會"</f>
        <v>本會</v>
      </c>
      <c r="E474" s="4" t="str">
        <f t="shared" si="27"/>
        <v>借</v>
      </c>
      <c r="F474" s="12">
        <f>30</f>
        <v>30</v>
      </c>
      <c r="G474" s="12"/>
      <c r="H474" s="12">
        <f>7454</f>
        <v>7454</v>
      </c>
    </row>
    <row r="475" spans="1:8" ht="15">
      <c r="A475" s="4" t="str">
        <f>"98-03-24"</f>
        <v>98-03-24</v>
      </c>
      <c r="B475" s="4" t="str">
        <f>"VH83240002"</f>
        <v>VH83240002</v>
      </c>
      <c r="C475" s="4" t="str">
        <f>"匯費"</f>
        <v>匯費</v>
      </c>
      <c r="D475" s="4" t="str">
        <f>"本會"</f>
        <v>本會</v>
      </c>
      <c r="E475" s="4" t="str">
        <f t="shared" si="27"/>
        <v>借</v>
      </c>
      <c r="F475" s="12">
        <f>60</f>
        <v>60</v>
      </c>
      <c r="G475" s="12"/>
      <c r="H475" s="12">
        <f>7514</f>
        <v>7514</v>
      </c>
    </row>
    <row r="476" spans="1:8" ht="15">
      <c r="A476" s="4" t="str">
        <f>"98-03-27"</f>
        <v>98-03-27</v>
      </c>
      <c r="B476" s="4" t="str">
        <f>"VH83270003"</f>
        <v>VH83270003</v>
      </c>
      <c r="C476" s="4" t="str">
        <f>"*573-577"</f>
        <v>*573-577</v>
      </c>
      <c r="D476" s="4" t="str">
        <f>"本會"</f>
        <v>本會</v>
      </c>
      <c r="E476" s="4" t="str">
        <f t="shared" si="27"/>
        <v>借</v>
      </c>
      <c r="F476" s="12">
        <f>80</f>
        <v>80</v>
      </c>
      <c r="G476" s="12"/>
      <c r="H476" s="12">
        <f>7594</f>
        <v>7594</v>
      </c>
    </row>
    <row r="477" spans="1:8" ht="15">
      <c r="A477" s="4">
        <f>""</f>
      </c>
      <c r="B477" s="4" t="str">
        <f>"月小計"</f>
        <v>月小計</v>
      </c>
      <c r="C477" s="4">
        <f>""</f>
      </c>
      <c r="D477" s="4">
        <f>""</f>
      </c>
      <c r="E477" s="4" t="str">
        <f t="shared" si="27"/>
        <v>借</v>
      </c>
      <c r="F477" s="12">
        <f>7100</f>
        <v>7100</v>
      </c>
      <c r="G477" s="12"/>
      <c r="H477" s="12">
        <f>7594</f>
        <v>7594</v>
      </c>
    </row>
    <row r="478" spans="1:8" ht="15">
      <c r="A478" s="4" t="str">
        <f>"98-04-28"</f>
        <v>98-04-28</v>
      </c>
      <c r="B478" s="4" t="str">
        <f>"VH84280001"</f>
        <v>VH84280001</v>
      </c>
      <c r="C478" s="4" t="str">
        <f>"匯費"</f>
        <v>匯費</v>
      </c>
      <c r="D478" s="4" t="str">
        <f>"本會"</f>
        <v>本會</v>
      </c>
      <c r="E478" s="4" t="str">
        <f t="shared" si="27"/>
        <v>借</v>
      </c>
      <c r="F478" s="12">
        <f>30</f>
        <v>30</v>
      </c>
      <c r="G478" s="12"/>
      <c r="H478" s="12">
        <f>7624</f>
        <v>7624</v>
      </c>
    </row>
    <row r="479" spans="1:8" ht="15">
      <c r="A479" s="4" t="str">
        <f>"98-04-28"</f>
        <v>98-04-28</v>
      </c>
      <c r="B479" s="4" t="str">
        <f>"VH84280003"</f>
        <v>VH84280003</v>
      </c>
      <c r="C479" s="4" t="str">
        <f>"證書套印"</f>
        <v>證書套印</v>
      </c>
      <c r="D479" s="4" t="str">
        <f>"本會"</f>
        <v>本會</v>
      </c>
      <c r="E479" s="4" t="str">
        <f t="shared" si="27"/>
        <v>借</v>
      </c>
      <c r="F479" s="12">
        <f>300</f>
        <v>300</v>
      </c>
      <c r="G479" s="12"/>
      <c r="H479" s="12">
        <f>7924</f>
        <v>7924</v>
      </c>
    </row>
    <row r="480" spans="1:8" ht="15">
      <c r="A480" s="4">
        <f>""</f>
      </c>
      <c r="B480" s="4" t="str">
        <f>"月小計"</f>
        <v>月小計</v>
      </c>
      <c r="C480" s="4">
        <f>""</f>
      </c>
      <c r="D480" s="4">
        <f>""</f>
      </c>
      <c r="E480" s="4" t="str">
        <f t="shared" si="27"/>
        <v>借</v>
      </c>
      <c r="F480" s="12">
        <f>330</f>
        <v>330</v>
      </c>
      <c r="G480" s="12"/>
      <c r="H480" s="12">
        <f>7924</f>
        <v>7924</v>
      </c>
    </row>
    <row r="481" spans="1:8" ht="15">
      <c r="A481" s="4" t="str">
        <f>"98-05-21"</f>
        <v>98-05-21</v>
      </c>
      <c r="B481" s="4" t="str">
        <f>"VH85210001"</f>
        <v>VH85210001</v>
      </c>
      <c r="C481" s="4" t="str">
        <f>"匯費"</f>
        <v>匯費</v>
      </c>
      <c r="D481" s="4" t="str">
        <f>"本會"</f>
        <v>本會</v>
      </c>
      <c r="E481" s="4" t="str">
        <f t="shared" si="27"/>
        <v>借</v>
      </c>
      <c r="F481" s="12">
        <f>30</f>
        <v>30</v>
      </c>
      <c r="G481" s="12"/>
      <c r="H481" s="12">
        <f>7954</f>
        <v>7954</v>
      </c>
    </row>
    <row r="482" spans="1:8" ht="15">
      <c r="A482" s="4">
        <f>""</f>
      </c>
      <c r="B482" s="4" t="str">
        <f>"月小計"</f>
        <v>月小計</v>
      </c>
      <c r="C482" s="4">
        <f>""</f>
      </c>
      <c r="D482" s="4">
        <f>""</f>
      </c>
      <c r="E482" s="4" t="str">
        <f t="shared" si="27"/>
        <v>借</v>
      </c>
      <c r="F482" s="12">
        <f>30</f>
        <v>30</v>
      </c>
      <c r="G482" s="12"/>
      <c r="H482" s="12">
        <f>7954</f>
        <v>7954</v>
      </c>
    </row>
    <row r="483" spans="1:8" ht="15">
      <c r="A483" s="4" t="str">
        <f>"98-06-21"</f>
        <v>98-06-21</v>
      </c>
      <c r="B483" s="4" t="str">
        <f>"VH86210001"</f>
        <v>VH86210001</v>
      </c>
      <c r="C483" s="4" t="str">
        <f>"*578-580"</f>
        <v>*578-580</v>
      </c>
      <c r="D483" s="4" t="str">
        <f>"本會"</f>
        <v>本會</v>
      </c>
      <c r="E483" s="4" t="str">
        <f t="shared" si="27"/>
        <v>借</v>
      </c>
      <c r="F483" s="12">
        <f>40</f>
        <v>40</v>
      </c>
      <c r="G483" s="12"/>
      <c r="H483" s="12">
        <f>7994</f>
        <v>7994</v>
      </c>
    </row>
    <row r="484" spans="1:8" ht="15">
      <c r="A484" s="4" t="str">
        <f>"98-06-30"</f>
        <v>98-06-30</v>
      </c>
      <c r="B484" s="4" t="str">
        <f>"VH86300001"</f>
        <v>VH86300001</v>
      </c>
      <c r="C484" s="4" t="str">
        <f>"印章"</f>
        <v>印章</v>
      </c>
      <c r="D484" s="4" t="str">
        <f>"本會"</f>
        <v>本會</v>
      </c>
      <c r="E484" s="4" t="str">
        <f t="shared" si="27"/>
        <v>借</v>
      </c>
      <c r="F484" s="12">
        <f>50</f>
        <v>50</v>
      </c>
      <c r="G484" s="12"/>
      <c r="H484" s="12">
        <f>8044</f>
        <v>8044</v>
      </c>
    </row>
    <row r="485" spans="1:8" ht="15">
      <c r="A485" s="4">
        <f>""</f>
      </c>
      <c r="B485" s="4" t="str">
        <f>"月小計"</f>
        <v>月小計</v>
      </c>
      <c r="C485" s="4">
        <f>""</f>
      </c>
      <c r="D485" s="4">
        <f>""</f>
      </c>
      <c r="E485" s="4" t="str">
        <f t="shared" si="27"/>
        <v>借</v>
      </c>
      <c r="F485" s="12">
        <f>90</f>
        <v>90</v>
      </c>
      <c r="G485" s="12"/>
      <c r="H485" s="12">
        <f>8044</f>
        <v>8044</v>
      </c>
    </row>
    <row r="486" spans="1:8" ht="15">
      <c r="A486" s="4" t="str">
        <f>"98-07-09"</f>
        <v>98-07-09</v>
      </c>
      <c r="B486" s="4" t="str">
        <f>"VH87090001"</f>
        <v>VH87090001</v>
      </c>
      <c r="C486" s="4" t="str">
        <f>"手續費"</f>
        <v>手續費</v>
      </c>
      <c r="D486" s="4" t="str">
        <f>"本會"</f>
        <v>本會</v>
      </c>
      <c r="E486" s="4" t="str">
        <f t="shared" si="27"/>
        <v>借</v>
      </c>
      <c r="F486" s="12">
        <f>560</f>
        <v>560</v>
      </c>
      <c r="G486" s="12"/>
      <c r="H486" s="12">
        <f>8604</f>
        <v>8604</v>
      </c>
    </row>
    <row r="487" spans="1:8" ht="15">
      <c r="A487" s="4" t="str">
        <f>"98-07-23"</f>
        <v>98-07-23</v>
      </c>
      <c r="B487" s="4" t="str">
        <f>"VH87230001"</f>
        <v>VH87230001</v>
      </c>
      <c r="C487" s="4" t="str">
        <f>"專科考試豋報作業"</f>
        <v>專科考試豋報作業</v>
      </c>
      <c r="D487" s="4" t="str">
        <f>"本會"</f>
        <v>本會</v>
      </c>
      <c r="E487" s="4" t="str">
        <f t="shared" si="27"/>
        <v>借</v>
      </c>
      <c r="F487" s="12">
        <f>3440</f>
        <v>3440</v>
      </c>
      <c r="G487" s="12"/>
      <c r="H487" s="12">
        <f>12044</f>
        <v>12044</v>
      </c>
    </row>
    <row r="488" spans="1:8" ht="15">
      <c r="A488" s="4" t="str">
        <f>"98-07-31"</f>
        <v>98-07-31</v>
      </c>
      <c r="B488" s="4" t="str">
        <f>"VH87310001"</f>
        <v>VH87310001</v>
      </c>
      <c r="C488" s="4" t="str">
        <f>"手續費"</f>
        <v>手續費</v>
      </c>
      <c r="D488" s="4" t="str">
        <f>"本會"</f>
        <v>本會</v>
      </c>
      <c r="E488" s="4" t="str">
        <f t="shared" si="27"/>
        <v>借</v>
      </c>
      <c r="F488" s="12">
        <f>410</f>
        <v>410</v>
      </c>
      <c r="G488" s="12"/>
      <c r="H488" s="12">
        <f>12454</f>
        <v>12454</v>
      </c>
    </row>
    <row r="489" spans="1:8" ht="15">
      <c r="A489" s="4">
        <f>""</f>
      </c>
      <c r="B489" s="4" t="str">
        <f>"月小計"</f>
        <v>月小計</v>
      </c>
      <c r="C489" s="4">
        <f>""</f>
      </c>
      <c r="D489" s="4">
        <f>""</f>
      </c>
      <c r="E489" s="4" t="str">
        <f t="shared" si="27"/>
        <v>借</v>
      </c>
      <c r="F489" s="12">
        <f>4410</f>
        <v>4410</v>
      </c>
      <c r="G489" s="12"/>
      <c r="H489" s="12">
        <f>12454</f>
        <v>12454</v>
      </c>
    </row>
    <row r="490" spans="1:8" ht="15">
      <c r="A490" s="4" t="str">
        <f>"98-08-31"</f>
        <v>98-08-31</v>
      </c>
      <c r="B490" s="4" t="str">
        <f>"VH88310002"</f>
        <v>VH88310002</v>
      </c>
      <c r="C490" s="4" t="str">
        <f>"手續費"</f>
        <v>手續費</v>
      </c>
      <c r="D490" s="4" t="str">
        <f>"本會"</f>
        <v>本會</v>
      </c>
      <c r="E490" s="4" t="str">
        <f t="shared" si="27"/>
        <v>借</v>
      </c>
      <c r="F490" s="12">
        <f>420</f>
        <v>420</v>
      </c>
      <c r="G490" s="12"/>
      <c r="H490" s="12">
        <f>12874</f>
        <v>12874</v>
      </c>
    </row>
    <row r="491" spans="1:8" ht="15">
      <c r="A491" s="4">
        <f>""</f>
      </c>
      <c r="B491" s="4" t="str">
        <f>"月小計"</f>
        <v>月小計</v>
      </c>
      <c r="C491" s="4">
        <f>""</f>
      </c>
      <c r="D491" s="4">
        <f>""</f>
      </c>
      <c r="E491" s="4" t="str">
        <f t="shared" si="27"/>
        <v>借</v>
      </c>
      <c r="F491" s="12">
        <f>420</f>
        <v>420</v>
      </c>
      <c r="G491" s="12"/>
      <c r="H491" s="12">
        <f>12874</f>
        <v>12874</v>
      </c>
    </row>
    <row r="492" spans="1:8" ht="15">
      <c r="A492" s="4" t="str">
        <f>"98-09-30"</f>
        <v>98-09-30</v>
      </c>
      <c r="B492" s="4" t="str">
        <f>"VH89300002"</f>
        <v>VH89300002</v>
      </c>
      <c r="C492" s="4" t="str">
        <f>"609-610手續費"</f>
        <v>609-610手續費</v>
      </c>
      <c r="D492" s="4" t="str">
        <f>"本會"</f>
        <v>本會</v>
      </c>
      <c r="E492" s="4" t="str">
        <f t="shared" si="27"/>
        <v>借</v>
      </c>
      <c r="F492" s="12">
        <f>40</f>
        <v>40</v>
      </c>
      <c r="G492" s="12"/>
      <c r="H492" s="12">
        <f>12914</f>
        <v>12914</v>
      </c>
    </row>
    <row r="493" spans="1:8" ht="15">
      <c r="A493" s="4">
        <f>""</f>
      </c>
      <c r="B493" s="4" t="str">
        <f>"月小計"</f>
        <v>月小計</v>
      </c>
      <c r="C493" s="4">
        <f>""</f>
      </c>
      <c r="D493" s="4">
        <f>""</f>
      </c>
      <c r="E493" s="4" t="str">
        <f t="shared" si="27"/>
        <v>借</v>
      </c>
      <c r="F493" s="12">
        <f>40</f>
        <v>40</v>
      </c>
      <c r="G493" s="12"/>
      <c r="H493" s="12">
        <f>12914</f>
        <v>12914</v>
      </c>
    </row>
    <row r="494" spans="1:8" ht="15">
      <c r="A494" s="4" t="str">
        <f>"98-10-06"</f>
        <v>98-10-06</v>
      </c>
      <c r="B494" s="4" t="str">
        <f>"VH8A060001"</f>
        <v>VH8A060001</v>
      </c>
      <c r="C494" s="4" t="str">
        <f>"手續費"</f>
        <v>手續費</v>
      </c>
      <c r="D494" s="4" t="str">
        <f>"本會"</f>
        <v>本會</v>
      </c>
      <c r="E494" s="4" t="str">
        <f t="shared" si="27"/>
        <v>借</v>
      </c>
      <c r="F494" s="12">
        <f>50</f>
        <v>50</v>
      </c>
      <c r="G494" s="12"/>
      <c r="H494" s="12">
        <f>12964</f>
        <v>12964</v>
      </c>
    </row>
    <row r="495" spans="1:8" ht="15">
      <c r="A495" s="4" t="str">
        <f>"98-10-13"</f>
        <v>98-10-13</v>
      </c>
      <c r="B495" s="4" t="str">
        <f>"VH8A130001"</f>
        <v>VH8A130001</v>
      </c>
      <c r="C495" s="4" t="str">
        <f>"計時器"</f>
        <v>計時器</v>
      </c>
      <c r="D495" s="4" t="str">
        <f>"本會"</f>
        <v>本會</v>
      </c>
      <c r="E495" s="4" t="str">
        <f t="shared" si="27"/>
        <v>借</v>
      </c>
      <c r="F495" s="12">
        <f>300</f>
        <v>300</v>
      </c>
      <c r="G495" s="12"/>
      <c r="H495" s="12">
        <f>13264</f>
        <v>13264</v>
      </c>
    </row>
    <row r="496" spans="1:8" ht="15">
      <c r="A496" s="4" t="str">
        <f>"98-10-27"</f>
        <v>98-10-27</v>
      </c>
      <c r="B496" s="4" t="str">
        <f>"VH8A270001"</f>
        <v>VH8A270001</v>
      </c>
      <c r="C496" s="4" t="str">
        <f>"獎杯製作"</f>
        <v>獎杯製作</v>
      </c>
      <c r="D496" s="4" t="str">
        <f>"本會"</f>
        <v>本會</v>
      </c>
      <c r="E496" s="4" t="str">
        <f t="shared" si="27"/>
        <v>借</v>
      </c>
      <c r="F496" s="12">
        <f>12600</f>
        <v>12600</v>
      </c>
      <c r="G496" s="12"/>
      <c r="H496" s="12">
        <f>25864</f>
        <v>25864</v>
      </c>
    </row>
    <row r="497" spans="1:8" ht="15">
      <c r="A497" s="4" t="str">
        <f>"98-10-27"</f>
        <v>98-10-27</v>
      </c>
      <c r="B497" s="4" t="str">
        <f>"VH8A270001"</f>
        <v>VH8A270001</v>
      </c>
      <c r="C497" s="4" t="str">
        <f>"匯費"</f>
        <v>匯費</v>
      </c>
      <c r="D497" s="4" t="str">
        <f>"本會"</f>
        <v>本會</v>
      </c>
      <c r="E497" s="4" t="str">
        <f t="shared" si="27"/>
        <v>借</v>
      </c>
      <c r="F497" s="12">
        <f>30</f>
        <v>30</v>
      </c>
      <c r="G497" s="12"/>
      <c r="H497" s="12">
        <f>25894</f>
        <v>25894</v>
      </c>
    </row>
    <row r="498" spans="1:8" ht="15">
      <c r="A498" s="4">
        <f>""</f>
      </c>
      <c r="B498" s="4" t="str">
        <f>"月小計"</f>
        <v>月小計</v>
      </c>
      <c r="C498" s="4">
        <f>""</f>
      </c>
      <c r="D498" s="4">
        <f>""</f>
      </c>
      <c r="E498" s="4" t="str">
        <f t="shared" si="27"/>
        <v>借</v>
      </c>
      <c r="F498" s="12">
        <f>12980</f>
        <v>12980</v>
      </c>
      <c r="G498" s="12"/>
      <c r="H498" s="12">
        <f>25894</f>
        <v>25894</v>
      </c>
    </row>
    <row r="499" spans="1:8" ht="15">
      <c r="A499" s="4" t="str">
        <f>"98-11-11"</f>
        <v>98-11-11</v>
      </c>
      <c r="B499" s="4" t="str">
        <f>"VH8B110004"</f>
        <v>VH8B110004</v>
      </c>
      <c r="C499" s="4" t="str">
        <f>"獎牌"</f>
        <v>獎牌</v>
      </c>
      <c r="D499" s="4" t="str">
        <f aca="true" t="shared" si="28" ref="D499:D504">"本會"</f>
        <v>本會</v>
      </c>
      <c r="E499" s="4" t="str">
        <f t="shared" si="27"/>
        <v>借</v>
      </c>
      <c r="F499" s="12">
        <f>3520</f>
        <v>3520</v>
      </c>
      <c r="G499" s="12"/>
      <c r="H499" s="12">
        <f>29414</f>
        <v>29414</v>
      </c>
    </row>
    <row r="500" spans="1:8" ht="15">
      <c r="A500" s="4" t="str">
        <f>"98-11-11"</f>
        <v>98-11-11</v>
      </c>
      <c r="B500" s="4" t="str">
        <f>"VH8B110004"</f>
        <v>VH8B110004</v>
      </c>
      <c r="C500" s="4" t="str">
        <f>"匯費"</f>
        <v>匯費</v>
      </c>
      <c r="D500" s="4" t="str">
        <f t="shared" si="28"/>
        <v>本會</v>
      </c>
      <c r="E500" s="4" t="str">
        <f t="shared" si="27"/>
        <v>借</v>
      </c>
      <c r="F500" s="12">
        <f>30</f>
        <v>30</v>
      </c>
      <c r="G500" s="12"/>
      <c r="H500" s="12">
        <f>29444</f>
        <v>29444</v>
      </c>
    </row>
    <row r="501" spans="1:8" ht="15">
      <c r="A501" s="4" t="str">
        <f>"98-11-23"</f>
        <v>98-11-23</v>
      </c>
      <c r="B501" s="4" t="str">
        <f>"VH8B230001"</f>
        <v>VH8B230001</v>
      </c>
      <c r="C501" s="4" t="str">
        <f>"office break"</f>
        <v>office break</v>
      </c>
      <c r="D501" s="4" t="str">
        <f t="shared" si="28"/>
        <v>本會</v>
      </c>
      <c r="E501" s="4" t="str">
        <f t="shared" si="27"/>
        <v>借</v>
      </c>
      <c r="F501" s="12">
        <f>23000</f>
        <v>23000</v>
      </c>
      <c r="G501" s="12"/>
      <c r="H501" s="12">
        <f>52444</f>
        <v>52444</v>
      </c>
    </row>
    <row r="502" spans="1:8" ht="15">
      <c r="A502" s="4" t="str">
        <f>"98-11-23"</f>
        <v>98-11-23</v>
      </c>
      <c r="B502" s="4" t="str">
        <f>"VH8B230001"</f>
        <v>VH8B230001</v>
      </c>
      <c r="C502" s="4" t="str">
        <f>"匯費"</f>
        <v>匯費</v>
      </c>
      <c r="D502" s="4" t="str">
        <f t="shared" si="28"/>
        <v>本會</v>
      </c>
      <c r="E502" s="4" t="str">
        <f t="shared" si="27"/>
        <v>借</v>
      </c>
      <c r="F502" s="12">
        <f>30</f>
        <v>30</v>
      </c>
      <c r="G502" s="12"/>
      <c r="H502" s="12">
        <f>52474</f>
        <v>52474</v>
      </c>
    </row>
    <row r="503" spans="1:8" ht="15">
      <c r="A503" s="4" t="str">
        <f>"98-11-25"</f>
        <v>98-11-25</v>
      </c>
      <c r="B503" s="4" t="str">
        <f>"VH8B250001"</f>
        <v>VH8B250001</v>
      </c>
      <c r="C503" s="4" t="str">
        <f>"製作獎座"</f>
        <v>製作獎座</v>
      </c>
      <c r="D503" s="4" t="str">
        <f t="shared" si="28"/>
        <v>本會</v>
      </c>
      <c r="E503" s="4" t="str">
        <f t="shared" si="27"/>
        <v>借</v>
      </c>
      <c r="F503" s="12">
        <f>1400</f>
        <v>1400</v>
      </c>
      <c r="G503" s="12"/>
      <c r="H503" s="12">
        <f>53874</f>
        <v>53874</v>
      </c>
    </row>
    <row r="504" spans="1:8" ht="15">
      <c r="A504" s="4" t="str">
        <f>"98-11-25"</f>
        <v>98-11-25</v>
      </c>
      <c r="B504" s="4" t="str">
        <f>"VH8B250001"</f>
        <v>VH8B250001</v>
      </c>
      <c r="C504" s="4" t="str">
        <f>"匯費"</f>
        <v>匯費</v>
      </c>
      <c r="D504" s="4" t="str">
        <f t="shared" si="28"/>
        <v>本會</v>
      </c>
      <c r="E504" s="4" t="str">
        <f t="shared" si="27"/>
        <v>借</v>
      </c>
      <c r="F504" s="12">
        <f>30</f>
        <v>30</v>
      </c>
      <c r="G504" s="12"/>
      <c r="H504" s="12">
        <f>53904</f>
        <v>53904</v>
      </c>
    </row>
    <row r="505" spans="1:8" ht="15">
      <c r="A505" s="4">
        <f>""</f>
      </c>
      <c r="B505" s="4" t="str">
        <f>"月小計"</f>
        <v>月小計</v>
      </c>
      <c r="C505" s="4">
        <f>""</f>
      </c>
      <c r="D505" s="4">
        <f>""</f>
      </c>
      <c r="E505" s="4" t="str">
        <f t="shared" si="27"/>
        <v>借</v>
      </c>
      <c r="F505" s="12">
        <f>28010</f>
        <v>28010</v>
      </c>
      <c r="G505" s="12"/>
      <c r="H505" s="12">
        <f>53904</f>
        <v>53904</v>
      </c>
    </row>
    <row r="506" spans="1:8" ht="15">
      <c r="A506" s="4" t="str">
        <f>"98-12-03"</f>
        <v>98-12-03</v>
      </c>
      <c r="B506" s="4" t="str">
        <f>"VH8C030001"</f>
        <v>VH8C030001</v>
      </c>
      <c r="C506" s="4" t="str">
        <f>"手續費"</f>
        <v>手續費</v>
      </c>
      <c r="D506" s="4" t="str">
        <f>"本會"</f>
        <v>本會</v>
      </c>
      <c r="E506" s="4" t="str">
        <f t="shared" si="27"/>
        <v>借</v>
      </c>
      <c r="F506" s="12">
        <f>30</f>
        <v>30</v>
      </c>
      <c r="G506" s="12"/>
      <c r="H506" s="12">
        <f>53934</f>
        <v>53934</v>
      </c>
    </row>
    <row r="507" spans="1:8" ht="15">
      <c r="A507" s="4" t="str">
        <f>"98-12-21"</f>
        <v>98-12-21</v>
      </c>
      <c r="B507" s="4" t="str">
        <f>"VH8C210001"</f>
        <v>VH8C210001</v>
      </c>
      <c r="C507" s="4" t="str">
        <f>"手續費"</f>
        <v>手續費</v>
      </c>
      <c r="D507" s="4" t="str">
        <f>"本會"</f>
        <v>本會</v>
      </c>
      <c r="E507" s="4" t="str">
        <f t="shared" si="27"/>
        <v>借</v>
      </c>
      <c r="F507" s="12">
        <f>140</f>
        <v>140</v>
      </c>
      <c r="G507" s="12"/>
      <c r="H507" s="12">
        <f>54074</f>
        <v>54074</v>
      </c>
    </row>
    <row r="508" spans="1:8" ht="15">
      <c r="A508" s="4" t="str">
        <f>"98-12-31"</f>
        <v>98-12-31</v>
      </c>
      <c r="B508" s="4" t="str">
        <f>"VH8C310001"</f>
        <v>VH8C310001</v>
      </c>
      <c r="C508" s="4" t="str">
        <f>"匯費"</f>
        <v>匯費</v>
      </c>
      <c r="D508" s="4" t="str">
        <f>"本會"</f>
        <v>本會</v>
      </c>
      <c r="E508" s="4" t="str">
        <f t="shared" si="27"/>
        <v>借</v>
      </c>
      <c r="F508" s="12">
        <f>60</f>
        <v>60</v>
      </c>
      <c r="G508" s="12"/>
      <c r="H508" s="12">
        <f>54134</f>
        <v>54134</v>
      </c>
    </row>
    <row r="509" spans="1:8" ht="15">
      <c r="A509" s="4">
        <f>""</f>
      </c>
      <c r="B509" s="4" t="str">
        <f>"月小計"</f>
        <v>月小計</v>
      </c>
      <c r="C509" s="4">
        <f>""</f>
      </c>
      <c r="D509" s="4">
        <f>""</f>
      </c>
      <c r="E509" s="4" t="str">
        <f t="shared" si="27"/>
        <v>借</v>
      </c>
      <c r="F509" s="12">
        <f>230</f>
        <v>230</v>
      </c>
      <c r="G509" s="12"/>
      <c r="H509" s="12">
        <f>54134</f>
        <v>54134</v>
      </c>
    </row>
    <row r="510" spans="1:9" ht="15.75">
      <c r="A510" s="4">
        <f>""</f>
      </c>
      <c r="B510" s="4" t="str">
        <f>"合    計"</f>
        <v>合    計</v>
      </c>
      <c r="C510" s="4">
        <f>""</f>
      </c>
      <c r="D510" s="4">
        <f>""</f>
      </c>
      <c r="E510" s="4" t="str">
        <f t="shared" si="27"/>
        <v>借</v>
      </c>
      <c r="F510" s="12">
        <f>54134</f>
        <v>54134</v>
      </c>
      <c r="G510" s="12"/>
      <c r="H510" s="12">
        <f>54134</f>
        <v>54134</v>
      </c>
      <c r="I510" s="16" t="s">
        <v>37</v>
      </c>
    </row>
    <row r="511" spans="1:8" ht="15">
      <c r="A511" s="4">
        <f>""</f>
      </c>
      <c r="B511" s="4" t="str">
        <f>"承上期"</f>
        <v>承上期</v>
      </c>
      <c r="C511" s="4">
        <f>""</f>
      </c>
      <c r="D511" s="4">
        <f>""</f>
      </c>
      <c r="E511" s="4">
        <f>""</f>
      </c>
      <c r="F511" s="12"/>
      <c r="G511" s="12"/>
      <c r="H511" s="12"/>
    </row>
    <row r="512" spans="1:8" ht="15">
      <c r="A512" s="5"/>
      <c r="B512" s="5"/>
      <c r="C512" s="5"/>
      <c r="D512" s="5"/>
      <c r="E512" s="5"/>
      <c r="F512" s="13"/>
      <c r="G512" s="13"/>
      <c r="H512" s="13"/>
    </row>
  </sheetData>
  <mergeCells count="3">
    <mergeCell ref="A1:H1"/>
    <mergeCell ref="A2:H2"/>
    <mergeCell ref="A3:H3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</cp:lastModifiedBy>
  <dcterms:created xsi:type="dcterms:W3CDTF">2010-03-03T01:02:48Z</dcterms:created>
  <dcterms:modified xsi:type="dcterms:W3CDTF">2010-03-03T01:18:34Z</dcterms:modified>
  <cp:category/>
  <cp:version/>
  <cp:contentType/>
  <cp:contentStatus/>
</cp:coreProperties>
</file>